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IIP" sheetId="1" r:id="rId1"/>
    <sheet name="GTSXCN" sheetId="2" r:id="rId2"/>
    <sheet name="SPCN" sheetId="3" r:id="rId3"/>
    <sheet name="TMBL" sheetId="4" r:id="rId4"/>
    <sheet name="XNK_sapxep" sheetId="5" r:id="rId5"/>
    <sheet name="XNK" sheetId="6" r:id="rId6"/>
    <sheet name="DNghiepXK&gt;100trUSD" sheetId="7" r:id="rId7"/>
    <sheet name="DNghiepNK&gt;100trUSD" sheetId="8" r:id="rId8"/>
    <sheet name="chisogia" sheetId="9" r:id="rId9"/>
    <sheet name="00000000" sheetId="10" state="veryHidden" r:id="rId10"/>
    <sheet name="10000000" sheetId="11" state="veryHidden" r:id="rId11"/>
    <sheet name="20000000" sheetId="12" state="veryHidden" r:id="rId12"/>
    <sheet name="30000000" sheetId="13" state="veryHidden" r:id="rId13"/>
    <sheet name="Sheet1" sheetId="14" r:id="rId14"/>
  </sheets>
  <definedNames>
    <definedName name="_xlnm.Print_Titles" localSheetId="0">'IIP'!$4:$6</definedName>
    <definedName name="_xlnm.Print_Titles" localSheetId="5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<sst xmlns="http://schemas.openxmlformats.org/spreadsheetml/2006/main" count="580" uniqueCount="285">
  <si>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</si>
  <si>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</si>
  <si>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</si>
  <si>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</si>
  <si>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</si>
  <si>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</si>
  <si>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</si>
  <si>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</si>
  <si>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</si>
  <si>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</si>
  <si>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</si>
  <si>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</si>
  <si>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</si>
  <si>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</si>
  <si>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</si>
  <si>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1. Hàng ăn và dịch vụ ăn uống</t>
  </si>
  <si>
    <t xml:space="preserve">                 - Thực phẩm</t>
  </si>
  <si>
    <t>2. Đồ uống và thuốc lá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</si>
  <si>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</si>
  <si>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</si>
  <si>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</si>
  <si>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</si>
  <si>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</si>
  <si>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</si>
  <si>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</si>
  <si>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</si>
  <si>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</si>
  <si>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</si>
  <si>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</si>
  <si>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</si>
  <si>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</si>
  <si>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</si>
  <si>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</si>
  <si>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</si>
  <si>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</si>
  <si>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</si>
  <si>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</si>
  <si>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</si>
  <si>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</si>
  <si>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</si>
  <si>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</si>
  <si>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</si>
  <si>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</si>
  <si>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</si>
  <si>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</si>
  <si>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</si>
  <si>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</si>
  <si>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</si>
  <si>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</si>
  <si>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</si>
  <si>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Tháng trước</t>
  </si>
  <si>
    <t>Tháng cùng kỳ năm trước</t>
  </si>
  <si>
    <t>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</si>
  <si>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</si>
  <si>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</si>
  <si>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</si>
  <si>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</si>
  <si>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</si>
  <si>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</si>
  <si>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</si>
  <si>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</si>
  <si>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</si>
  <si>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</si>
  <si>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</si>
  <si>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</si>
  <si>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</si>
  <si>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</si>
  <si>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</si>
  <si>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</si>
  <si>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</si>
  <si>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</si>
  <si>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</si>
  <si>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</si>
  <si>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</si>
  <si>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</si>
  <si>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</si>
  <si>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</si>
  <si>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</si>
  <si>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</si>
  <si>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</si>
  <si>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</si>
  <si>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</si>
  <si>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</si>
  <si>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</si>
  <si>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</si>
  <si>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</si>
  <si>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Tháng 12/014 so CKỳ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</si>
  <si>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</si>
  <si>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</si>
  <si>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</si>
  <si>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</si>
  <si>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</si>
  <si>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</si>
  <si>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</si>
  <si>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</si>
  <si>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</si>
  <si>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</si>
  <si>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</si>
  <si>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</si>
  <si>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</si>
  <si>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</si>
  <si>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</si>
  <si>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</si>
  <si>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</si>
  <si>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</si>
  <si>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</si>
  <si>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</si>
  <si>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</si>
  <si>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Kế hoạch năm 2016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</si>
  <si>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</si>
  <si>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</si>
  <si>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</si>
  <si>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</si>
  <si>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</si>
  <si>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</si>
  <si>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</si>
  <si>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</si>
  <si>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</si>
  <si>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</si>
  <si>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</si>
  <si>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</si>
  <si>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</si>
  <si>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</si>
  <si>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</si>
  <si>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</si>
  <si>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</si>
  <si>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</si>
  <si>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</si>
  <si>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</si>
  <si>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Ghi chú: KH năm 2016, chỉ số sản xuất công nghiệp tăng 7,5-8,5%  so năm 2015.</t>
  </si>
  <si>
    <t>ĐVT: Triệu đồng</t>
  </si>
  <si>
    <t>Kỳ gốc 2014</t>
  </si>
  <si>
    <t xml:space="preserve">Ghi chú: KH năm 2016, GTSXCN của tỉnh (giá ss 2010) đạt khoảng 658- 662 ngàn tỷ đồng, tăng 11-13% so năm 2015. </t>
  </si>
  <si>
    <t>Kim ngạch nhập khẩu toàn tỉnh đạt khoảng 14,1- 14,3 tỷ USD, tăng từ 9 - 11% so năm 2015.</t>
  </si>
  <si>
    <t>Ghi chú: KH năm 2016, Kim ngạch xuất khẩu toàn tỉnh đạt khoảng 15,8 - 16,2 tỷ USD, tăng từ 10 - 12% so năm 2015</t>
  </si>
  <si>
    <t>ĐVT: %</t>
  </si>
  <si>
    <t>Chỉ số giá tiêu dùng</t>
  </si>
  <si>
    <t>3. May mặc, mũ nón, giáy dép</t>
  </si>
  <si>
    <t>10T2015</t>
  </si>
  <si>
    <t>Tháng 11/2016 so với</t>
  </si>
  <si>
    <t>tháng trước</t>
  </si>
  <si>
    <t>Lũy kế 11 tháng so CK</t>
  </si>
  <si>
    <t>Ước cả năm 2016</t>
  </si>
  <si>
    <t>Tỷ đồng</t>
  </si>
  <si>
    <t>so CK (%)</t>
  </si>
  <si>
    <t>T11+12</t>
  </si>
  <si>
    <t>chia</t>
  </si>
  <si>
    <t>T10*1,0059</t>
  </si>
  <si>
    <t>T10*1,005</t>
  </si>
  <si>
    <t>cơ cấu</t>
  </si>
  <si>
    <t>11 tháng 2015 so CK</t>
  </si>
  <si>
    <t>-</t>
  </si>
  <si>
    <t>BIỂU CHỈ SỐ SẢN XUẤT CÔNG NGHIỆP (IIP) CỦA TỈNH THÁNG 12/2016</t>
  </si>
  <si>
    <t>BIỂU GIÁ TRỊ SẢN XUẤT CÔNG NGHIỆP THÁNG 12/2016</t>
  </si>
  <si>
    <t>BIỂU TỔNG MỨC BÁN LẺ HÀNG HÓA, DOANH THU DỊCH VỤ THÁNG 12/2016</t>
  </si>
  <si>
    <t>BIỂU KIM NGẠCH XUẤT KHẨU, NHẬP KHẨU TRÊN ĐỊA BÀN THÁNG 12/2016</t>
  </si>
  <si>
    <t>Chính thức tháng 11/2016</t>
  </si>
  <si>
    <t>Ước tính tháng 12/2016</t>
  </si>
  <si>
    <t>Ước tính cả năm 2016</t>
  </si>
  <si>
    <t>Chính thức   năm 2015</t>
  </si>
  <si>
    <t>Tháng 12/2016 so tháng trước</t>
  </si>
  <si>
    <t>Ước cả năm 2016 so KH</t>
  </si>
  <si>
    <t>Ước năm 2016 so cùng kỳ</t>
  </si>
  <si>
    <t>Ch/thức tháng 11/2016</t>
  </si>
  <si>
    <t>Ước tháng 12/2016</t>
  </si>
  <si>
    <t>Tháng 12/2016 so tháng 11/2016</t>
  </si>
  <si>
    <t>Cả năm 2016 so CKỳ</t>
  </si>
  <si>
    <t>Tháng 11/2016 so với cùng kỳ</t>
  </si>
  <si>
    <t>Tháng 12/2016 so với</t>
  </si>
  <si>
    <t>Cả năm 2016 so CK</t>
  </si>
  <si>
    <t>Chính thức năm 2015</t>
  </si>
  <si>
    <t>Ước năm 2016</t>
  </si>
  <si>
    <t>Năm 2016 so với CK (%)</t>
  </si>
  <si>
    <t>Ghi chú: - KH năm 2016, TMBL hàng hóa, dịch vụ của tỉnh đạt khoảng 136,2- 137,4 ngàn tỷ đồng, tăng 11-12% so năm 2015.</t>
  </si>
  <si>
    <t xml:space="preserve">              - Nguồn số liệu ước năm của Cục Thống Kê</t>
  </si>
  <si>
    <r>
      <t>GIÁ TRỊ SẢN XUẤT CÔNG NGHIỆP (GIÁ SO SÁNH 2010) 
(</t>
    </r>
    <r>
      <rPr>
        <sz val="11"/>
        <color indexed="8"/>
        <rFont val="Times New Roman"/>
        <family val="1"/>
      </rPr>
      <t>Chưa tính chi nhánh, cơ sở trực thuộc)</t>
    </r>
  </si>
  <si>
    <t>BIỂU CHỈ SỐ GIÁ CẢ HÀNG HÓA, DỊCH VỤ THÁNG 12/2016</t>
  </si>
  <si>
    <t>Chỉ số giá tháng 12/2016 so với (%)</t>
  </si>
  <si>
    <t>Ma_DV</t>
  </si>
  <si>
    <t>3600890952</t>
  </si>
  <si>
    <t>C«ng ty TNHH Hyosung ViÖt Nam</t>
  </si>
  <si>
    <t xml:space="preserve">3600266046   </t>
  </si>
  <si>
    <t>C«ng ty CP Tae Kwang Vina Industrial</t>
  </si>
  <si>
    <t>3600265469</t>
  </si>
  <si>
    <t>C«ng ty Chang Shin ViÖt Nam TNHH</t>
  </si>
  <si>
    <t xml:space="preserve">3600526590   </t>
  </si>
  <si>
    <t>C«ng ty TNHH Hwa Seung Vina</t>
  </si>
  <si>
    <t>3600265571</t>
  </si>
  <si>
    <t>C«ng ty TNHH Pou Chen ViÖt Nam</t>
  </si>
  <si>
    <t xml:space="preserve">3600852146   </t>
  </si>
  <si>
    <t>C«ng ty CP DÖt Texhong ViÖt Nam</t>
  </si>
  <si>
    <t xml:space="preserve">3600710751   </t>
  </si>
  <si>
    <t>C«ng ty TNHH Pou Sung ViÖt Nam</t>
  </si>
  <si>
    <t xml:space="preserve">3600517557   </t>
  </si>
  <si>
    <t>C«ng ty TNHH H­ng NghiÖp Formosa</t>
  </si>
  <si>
    <t xml:space="preserve">3600834796   </t>
  </si>
  <si>
    <t>C«ng ty TNHH Giµy Dona Standard ViÖt Nam</t>
  </si>
  <si>
    <t xml:space="preserve">3603119522   </t>
  </si>
  <si>
    <t>CTY TNHH BOSCH VIET NAM</t>
  </si>
  <si>
    <t xml:space="preserve">3600939069   </t>
  </si>
  <si>
    <t>C«ng ty TNHH Olympus ViÖt Nam</t>
  </si>
  <si>
    <t xml:space="preserve">3600265726   </t>
  </si>
  <si>
    <t>C«ng ty TNHH Giµy §ång Nai ViÖt Vinh</t>
  </si>
  <si>
    <t>3600249837</t>
  </si>
  <si>
    <t>C«ng ty h÷u h¹n sîi Tainan ViÖt Nam</t>
  </si>
  <si>
    <t>3600240707</t>
  </si>
  <si>
    <t>Mabuchi Motor VietNam,LTD</t>
  </si>
  <si>
    <t>3600659583</t>
  </si>
  <si>
    <t>C«ng Ty TNHH §«ng Ph­¬ng §ång Nai  ViÖt Nam</t>
  </si>
  <si>
    <t>3600492775</t>
  </si>
  <si>
    <t>C«ng ty TNHH Dona Pacific ViÖt Nam</t>
  </si>
  <si>
    <t xml:space="preserve">3600488793   </t>
  </si>
  <si>
    <t>C«ng ty TNHH Fashion Garments 2</t>
  </si>
  <si>
    <t xml:space="preserve">3600789864   </t>
  </si>
  <si>
    <t>C«ng ty TNHH DÖt May Eclat ViÖt Nam</t>
  </si>
  <si>
    <t>3600283394</t>
  </si>
  <si>
    <t>Tæng C«ng ty TÝn NghÜa</t>
  </si>
  <si>
    <t>3600878627</t>
  </si>
  <si>
    <t>C«ng ty TNHH ¾c Quy CSB (ViÖt Nam)</t>
  </si>
  <si>
    <t xml:space="preserve">3600691629   </t>
  </si>
  <si>
    <t>C«ng ty TNHH Posco VST</t>
  </si>
  <si>
    <t>3600239719</t>
  </si>
  <si>
    <t>C«ng ty CP H÷u H¹n Vedan ViÖt Nam</t>
  </si>
  <si>
    <t xml:space="preserve">3600692936   </t>
  </si>
  <si>
    <t>Công ty TNHH ON SEMICONDUCTOR Việt Nam</t>
  </si>
  <si>
    <t xml:space="preserve">3602651420   </t>
  </si>
  <si>
    <t>Cty TNHH thiÕt bÞ T©n TiÕn SUMIDEN ViÖt Nam</t>
  </si>
  <si>
    <t xml:space="preserve">3600259810   </t>
  </si>
  <si>
    <t>C«ng ty CP  §ång TiÕn</t>
  </si>
  <si>
    <t>3603189255</t>
  </si>
  <si>
    <t>C«ng ty TNHH VOLCAFE ViÖt Nam</t>
  </si>
  <si>
    <t xml:space="preserve">3600496473   </t>
  </si>
  <si>
    <t>C«ng TY TNHH C«ng NghiÖp Do Na  QuÕ B»ng</t>
  </si>
  <si>
    <t xml:space="preserve">3600676042   </t>
  </si>
  <si>
    <t>C«ng ty TNHH Shing Mark Vina</t>
  </si>
  <si>
    <t xml:space="preserve">3600235305   </t>
  </si>
  <si>
    <t>C«ng ty TNHH NestlÐ ViÖt Nam</t>
  </si>
  <si>
    <t xml:space="preserve">3600241066   </t>
  </si>
  <si>
    <t>C«ng ty TNHH Mitsuba M-Tech ViÖt Nam</t>
  </si>
  <si>
    <t>DANH SÁCH DOANH NGHIỆP XUẤT KHẨU CHỦ YẾU CỦA TỈNH</t>
  </si>
  <si>
    <t>T£N DOANH NGHIÖP</t>
  </si>
  <si>
    <t>KIM NG¹CH XUÊT KHÈU</t>
  </si>
  <si>
    <t>GHI CHó</t>
  </si>
  <si>
    <t>§VT: USD</t>
  </si>
  <si>
    <t>NĂM 2016</t>
  </si>
  <si>
    <t>TỔNG CỘNG</t>
  </si>
  <si>
    <t>DANH SÁCH DOANH NGHIỆP NHẬP KHẨU CHỦ YẾU CỦA TỈNH</t>
  </si>
  <si>
    <t>KIM NG¹CH nhËp KHÈU</t>
  </si>
  <si>
    <t>3600517557</t>
  </si>
  <si>
    <t xml:space="preserve">3600224423   </t>
  </si>
  <si>
    <t>C«ng ty CP Ch¨n Nu«i  C.P ViÖt Nam</t>
  </si>
  <si>
    <t xml:space="preserve">3600252847   </t>
  </si>
  <si>
    <t>C«ng ty CP ¤ T« Tr­êng H¶i</t>
  </si>
  <si>
    <t>3600852146</t>
  </si>
  <si>
    <t>3600241669</t>
  </si>
  <si>
    <t>C«ng ty d©y ®ång ViÖt Nam CFT</t>
  </si>
  <si>
    <t>3603277021</t>
  </si>
  <si>
    <t>C«NG TY TNHH HYOSUNG §åNG NAI</t>
  </si>
  <si>
    <t>3600233178</t>
  </si>
  <si>
    <t>C«ng ty TNHH Cargill ViÖt Nam</t>
  </si>
  <si>
    <t>3600939069</t>
  </si>
  <si>
    <t>3600710751</t>
  </si>
  <si>
    <t>3600248368</t>
  </si>
  <si>
    <t>C«ng ty TNHH Nhùa Vµ Hãa ChÊt TPC Vina</t>
  </si>
  <si>
    <t xml:space="preserve">3600249837   </t>
  </si>
  <si>
    <t xml:space="preserve">3600265571   </t>
  </si>
  <si>
    <t>3603119522</t>
  </si>
  <si>
    <t xml:space="preserve">3600477110   </t>
  </si>
  <si>
    <t>C«ng ty TNHH Syngenta ViÖt Nam</t>
  </si>
  <si>
    <t>3600234534</t>
  </si>
  <si>
    <t>C«ng ty CP ViÖt - Ph¸p  SX Thøc ¡n Gia Sóc</t>
  </si>
  <si>
    <t xml:space="preserve">3600257517   </t>
  </si>
  <si>
    <t>C«ng ty Sanyo Ha Asean</t>
  </si>
  <si>
    <t>3600235305</t>
  </si>
  <si>
    <t>3600224423070</t>
  </si>
  <si>
    <t>C«ng ty cæ phÇn ch¨n nu«i CP ViÖt Nam - CN H¶i D­¬ng</t>
  </si>
  <si>
    <t>3600496473</t>
  </si>
  <si>
    <t xml:space="preserve">3600249019   </t>
  </si>
  <si>
    <t>C«ng Ty Hualon Corporation ViÖt Nam</t>
  </si>
  <si>
    <t>3600224423060</t>
  </si>
  <si>
    <t>C«ng ty cæ phÇn ch¨n nu«i C.P. ViÖt Nam- Chi nh¸nh Xu©n Mai Hµ Néi</t>
  </si>
  <si>
    <t>3600789864</t>
  </si>
  <si>
    <t>3600233805</t>
  </si>
  <si>
    <t>C«ng ty TNHH Dinh D­ìng ¸ Ch©u (VN)</t>
  </si>
  <si>
    <t>x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</si>
</sst>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0.00000000"/>
    <numFmt numFmtId="217" formatCode="0.000000000"/>
    <numFmt numFmtId="218" formatCode="_-* #,##0.0\ _₫_-;\-* #,##0.0\ _₫_-;_-* &quot;-&quot;??\ _₫_-;_-@_-"/>
    <numFmt numFmtId="219" formatCode="#,##0.00_ ;\-#,##0.00\ "/>
    <numFmt numFmtId="220" formatCode="_-* #,##0\ _₫_-;\-* #,##0\ _₫_-;_-* &quot;-&quot;??\ _₫_-;_-@_-"/>
    <numFmt numFmtId="221" formatCode="_(* #,##0.000_);_(* \(#,##0.000\);_(* &quot;-&quot;???_);_(@_)"/>
  </numFmts>
  <fonts count="95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4"/>
      <name val="Times New Roman"/>
      <family val="1"/>
    </font>
    <font>
      <sz val="11"/>
      <name val=".VnTime"/>
      <family val="2"/>
    </font>
    <font>
      <sz val="9"/>
      <name val="Times New Roman"/>
      <family val="1"/>
    </font>
    <font>
      <sz val="11"/>
      <color indexed="8"/>
      <name val=".VnTime"/>
      <family val="2"/>
    </font>
    <font>
      <sz val="11"/>
      <color indexed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Times New Roman"/>
      <family val="1"/>
    </font>
    <font>
      <sz val="10"/>
      <name val="Cambria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"/>
      <family val="2"/>
    </font>
    <font>
      <b/>
      <sz val="11"/>
      <name val="Cambria"/>
      <family val="1"/>
    </font>
    <font>
      <sz val="10"/>
      <color indexed="8"/>
      <name val="Arial"/>
      <family val="0"/>
    </font>
    <font>
      <sz val="14"/>
      <color indexed="8"/>
      <name val=".VnTime"/>
      <family val="2"/>
    </font>
    <font>
      <sz val="12"/>
      <color indexed="8"/>
      <name val=".VnTimeH"/>
      <family val="2"/>
    </font>
    <font>
      <b/>
      <sz val="11"/>
      <color indexed="8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b/>
      <sz val="14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8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32" borderId="9" applyNumberFormat="0" applyFont="0" applyAlignment="0" applyProtection="0"/>
    <xf numFmtId="0" fontId="83" fillId="27" borderId="10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86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17" fillId="34" borderId="15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justify" vertical="center"/>
    </xf>
    <xf numFmtId="0" fontId="0" fillId="0" borderId="0" xfId="0" applyFont="1" applyAlignment="1">
      <alignment/>
    </xf>
    <xf numFmtId="3" fontId="19" fillId="0" borderId="1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0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1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1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25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 vertical="center"/>
      <protection/>
    </xf>
    <xf numFmtId="0" fontId="24" fillId="0" borderId="19" xfId="0" applyFont="1" applyFill="1" applyBorder="1" applyAlignment="1">
      <alignment/>
    </xf>
    <xf numFmtId="2" fontId="28" fillId="33" borderId="12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194" fontId="26" fillId="33" borderId="12" xfId="43" applyNumberFormat="1" applyFont="1" applyFill="1" applyBorder="1" applyAlignment="1">
      <alignment horizontal="center" vertical="center"/>
    </xf>
    <xf numFmtId="198" fontId="21" fillId="0" borderId="0" xfId="0" applyNumberFormat="1" applyFont="1" applyAlignment="1">
      <alignment/>
    </xf>
    <xf numFmtId="0" fontId="30" fillId="0" borderId="18" xfId="0" applyFont="1" applyFill="1" applyBorder="1" applyAlignment="1">
      <alignment/>
    </xf>
    <xf numFmtId="198" fontId="22" fillId="0" borderId="12" xfId="43" applyNumberFormat="1" applyFont="1" applyFill="1" applyBorder="1" applyAlignment="1">
      <alignment/>
    </xf>
    <xf numFmtId="194" fontId="26" fillId="0" borderId="12" xfId="43" applyNumberFormat="1" applyFont="1" applyFill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center"/>
    </xf>
    <xf numFmtId="171" fontId="21" fillId="0" borderId="14" xfId="0" applyNumberFormat="1" applyFont="1" applyBorder="1" applyAlignment="1">
      <alignment/>
    </xf>
    <xf numFmtId="194" fontId="25" fillId="0" borderId="12" xfId="43" applyNumberFormat="1" applyFont="1" applyBorder="1" applyAlignment="1">
      <alignment vertical="center"/>
    </xf>
    <xf numFmtId="179" fontId="25" fillId="0" borderId="12" xfId="43" applyFont="1" applyBorder="1" applyAlignment="1">
      <alignment vertical="center"/>
    </xf>
    <xf numFmtId="194" fontId="26" fillId="0" borderId="12" xfId="43" applyNumberFormat="1" applyFont="1" applyFill="1" applyBorder="1" applyAlignment="1">
      <alignment vertical="center"/>
    </xf>
    <xf numFmtId="179" fontId="26" fillId="0" borderId="12" xfId="43" applyFont="1" applyFill="1" applyBorder="1" applyAlignment="1">
      <alignment vertical="center"/>
    </xf>
    <xf numFmtId="194" fontId="26" fillId="0" borderId="12" xfId="43" applyNumberFormat="1" applyFont="1" applyBorder="1" applyAlignment="1">
      <alignment vertical="center"/>
    </xf>
    <xf numFmtId="179" fontId="26" fillId="0" borderId="12" xfId="43" applyFont="1" applyBorder="1" applyAlignment="1">
      <alignment vertical="center"/>
    </xf>
    <xf numFmtId="194" fontId="26" fillId="35" borderId="12" xfId="43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25" fillId="0" borderId="12" xfId="43" applyFont="1" applyFill="1" applyBorder="1" applyAlignment="1">
      <alignment vertical="center"/>
    </xf>
    <xf numFmtId="184" fontId="25" fillId="33" borderId="12" xfId="0" applyNumberFormat="1" applyFont="1" applyFill="1" applyBorder="1" applyAlignment="1">
      <alignment horizontal="right" vertical="center"/>
    </xf>
    <xf numFmtId="184" fontId="25" fillId="0" borderId="12" xfId="43" applyNumberFormat="1" applyFont="1" applyBorder="1" applyAlignment="1">
      <alignment horizontal="right" vertical="center"/>
    </xf>
    <xf numFmtId="201" fontId="25" fillId="0" borderId="12" xfId="43" applyNumberFormat="1" applyFont="1" applyBorder="1" applyAlignment="1">
      <alignment horizontal="right" vertical="center"/>
    </xf>
    <xf numFmtId="201" fontId="25" fillId="33" borderId="12" xfId="0" applyNumberFormat="1" applyFont="1" applyFill="1" applyBorder="1" applyAlignment="1">
      <alignment horizontal="right" vertical="center"/>
    </xf>
    <xf numFmtId="184" fontId="26" fillId="0" borderId="12" xfId="43" applyNumberFormat="1" applyFont="1" applyFill="1" applyBorder="1" applyAlignment="1">
      <alignment horizontal="right" vertical="center"/>
    </xf>
    <xf numFmtId="201" fontId="26" fillId="0" borderId="12" xfId="43" applyNumberFormat="1" applyFont="1" applyFill="1" applyBorder="1" applyAlignment="1">
      <alignment horizontal="right" vertical="center"/>
    </xf>
    <xf numFmtId="201" fontId="26" fillId="0" borderId="12" xfId="43" applyNumberFormat="1" applyFont="1" applyBorder="1" applyAlignment="1">
      <alignment horizontal="right" vertical="center"/>
    </xf>
    <xf numFmtId="201" fontId="26" fillId="0" borderId="12" xfId="43" applyNumberFormat="1" applyFont="1" applyFill="1" applyBorder="1" applyAlignment="1" quotePrefix="1">
      <alignment horizontal="right" vertical="center"/>
    </xf>
    <xf numFmtId="194" fontId="26" fillId="35" borderId="0" xfId="43" applyNumberFormat="1" applyFont="1" applyFill="1" applyBorder="1" applyAlignment="1">
      <alignment vertical="center"/>
    </xf>
    <xf numFmtId="194" fontId="26" fillId="35" borderId="22" xfId="43" applyNumberFormat="1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43" applyNumberFormat="1" applyFont="1" applyBorder="1" applyAlignment="1" applyProtection="1">
      <alignment horizontal="right" vertical="center" wrapText="1"/>
      <protection/>
    </xf>
    <xf numFmtId="2" fontId="9" fillId="0" borderId="12" xfId="43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 quotePrefix="1">
      <alignment vertical="center" wrapText="1"/>
    </xf>
    <xf numFmtId="0" fontId="28" fillId="0" borderId="18" xfId="0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179" fontId="26" fillId="0" borderId="12" xfId="43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14" fillId="0" borderId="12" xfId="0" applyFont="1" applyFill="1" applyBorder="1" applyAlignment="1" quotePrefix="1">
      <alignment vertical="center" wrapText="1"/>
    </xf>
    <xf numFmtId="0" fontId="14" fillId="0" borderId="12" xfId="0" applyFont="1" applyBorder="1" applyAlignment="1" quotePrefix="1">
      <alignment vertical="center" wrapText="1"/>
    </xf>
    <xf numFmtId="183" fontId="28" fillId="33" borderId="12" xfId="0" applyNumberFormat="1" applyFont="1" applyFill="1" applyBorder="1" applyAlignment="1">
      <alignment horizontal="center" vertical="center"/>
    </xf>
    <xf numFmtId="183" fontId="28" fillId="33" borderId="22" xfId="0" applyNumberFormat="1" applyFont="1" applyFill="1" applyBorder="1" applyAlignment="1">
      <alignment horizontal="center" vertical="center"/>
    </xf>
    <xf numFmtId="194" fontId="26" fillId="0" borderId="22" xfId="43" applyNumberFormat="1" applyFont="1" applyBorder="1" applyAlignment="1">
      <alignment vertical="center"/>
    </xf>
    <xf numFmtId="183" fontId="28" fillId="33" borderId="13" xfId="0" applyNumberFormat="1" applyFont="1" applyFill="1" applyBorder="1" applyAlignment="1">
      <alignment horizontal="center" vertical="center"/>
    </xf>
    <xf numFmtId="194" fontId="26" fillId="0" borderId="13" xfId="43" applyNumberFormat="1" applyFont="1" applyBorder="1" applyAlignment="1">
      <alignment vertical="center"/>
    </xf>
    <xf numFmtId="194" fontId="26" fillId="35" borderId="12" xfId="43" applyNumberFormat="1" applyFont="1" applyFill="1" applyBorder="1" applyAlignment="1" quotePrefix="1">
      <alignment horizontal="right" vertical="center"/>
    </xf>
    <xf numFmtId="179" fontId="26" fillId="33" borderId="12" xfId="43" applyFont="1" applyFill="1" applyBorder="1" applyAlignment="1">
      <alignment vertical="center"/>
    </xf>
    <xf numFmtId="179" fontId="25" fillId="33" borderId="12" xfId="43" applyFont="1" applyFill="1" applyBorder="1" applyAlignment="1">
      <alignment vertical="center"/>
    </xf>
    <xf numFmtId="194" fontId="25" fillId="33" borderId="12" xfId="43" applyNumberFormat="1" applyFont="1" applyFill="1" applyBorder="1" applyAlignment="1">
      <alignment vertical="center"/>
    </xf>
    <xf numFmtId="0" fontId="26" fillId="0" borderId="12" xfId="0" applyFont="1" applyBorder="1" applyAlignment="1">
      <alignment/>
    </xf>
    <xf numFmtId="194" fontId="26" fillId="35" borderId="22" xfId="43" applyNumberFormat="1" applyFont="1" applyFill="1" applyBorder="1" applyAlignment="1" quotePrefix="1">
      <alignment horizontal="right" vertical="center"/>
    </xf>
    <xf numFmtId="194" fontId="26" fillId="35" borderId="13" xfId="43" applyNumberFormat="1" applyFont="1" applyFill="1" applyBorder="1" applyAlignment="1">
      <alignment vertical="center"/>
    </xf>
    <xf numFmtId="194" fontId="26" fillId="35" borderId="13" xfId="43" applyNumberFormat="1" applyFont="1" applyFill="1" applyBorder="1" applyAlignment="1" quotePrefix="1">
      <alignment horizontal="right" vertical="center"/>
    </xf>
    <xf numFmtId="4" fontId="1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179" fontId="87" fillId="0" borderId="14" xfId="43" applyFont="1" applyBorder="1" applyAlignment="1">
      <alignment/>
    </xf>
    <xf numFmtId="4" fontId="87" fillId="0" borderId="14" xfId="0" applyNumberFormat="1" applyFont="1" applyBorder="1" applyAlignment="1">
      <alignment/>
    </xf>
    <xf numFmtId="4" fontId="10" fillId="0" borderId="18" xfId="60" applyNumberFormat="1" applyFont="1" applyFill="1" applyBorder="1" applyAlignment="1">
      <alignment horizontal="right"/>
      <protection/>
    </xf>
    <xf numFmtId="2" fontId="88" fillId="0" borderId="12" xfId="0" applyNumberFormat="1" applyFont="1" applyBorder="1" applyAlignment="1">
      <alignment/>
    </xf>
    <xf numFmtId="4" fontId="14" fillId="0" borderId="12" xfId="60" applyNumberFormat="1" applyFont="1" applyBorder="1" applyAlignment="1">
      <alignment horizontal="right"/>
      <protection/>
    </xf>
    <xf numFmtId="4" fontId="88" fillId="0" borderId="12" xfId="0" applyNumberFormat="1" applyFont="1" applyBorder="1" applyAlignment="1">
      <alignment/>
    </xf>
    <xf numFmtId="4" fontId="14" fillId="0" borderId="18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179" fontId="26" fillId="0" borderId="12" xfId="43" applyNumberFormat="1" applyFont="1" applyBorder="1" applyAlignment="1">
      <alignment vertical="center"/>
    </xf>
    <xf numFmtId="198" fontId="26" fillId="0" borderId="12" xfId="43" applyNumberFormat="1" applyFont="1" applyFill="1" applyBorder="1" applyAlignment="1">
      <alignment vertical="center"/>
    </xf>
    <xf numFmtId="219" fontId="6" fillId="0" borderId="0" xfId="0" applyNumberFormat="1" applyFont="1" applyAlignment="1" applyProtection="1">
      <alignment horizontal="left" vertical="center" wrapText="1"/>
      <protection/>
    </xf>
    <xf numFmtId="4" fontId="14" fillId="0" borderId="12" xfId="60" applyNumberFormat="1" applyFont="1" applyFill="1" applyBorder="1" applyAlignment="1">
      <alignment horizontal="right"/>
      <protection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1" fontId="3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 wrapText="1"/>
    </xf>
    <xf numFmtId="2" fontId="26" fillId="33" borderId="12" xfId="0" applyNumberFormat="1" applyFont="1" applyFill="1" applyBorder="1" applyAlignment="1">
      <alignment horizontal="left" vertical="center"/>
    </xf>
    <xf numFmtId="0" fontId="26" fillId="0" borderId="0" xfId="0" applyFont="1" applyAlignment="1">
      <alignment/>
    </xf>
    <xf numFmtId="2" fontId="26" fillId="33" borderId="12" xfId="0" applyNumberFormat="1" applyFont="1" applyFill="1" applyBorder="1" applyAlignment="1">
      <alignment vertical="center"/>
    </xf>
    <xf numFmtId="183" fontId="26" fillId="33" borderId="12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2" fontId="26" fillId="33" borderId="12" xfId="0" applyNumberFormat="1" applyFont="1" applyFill="1" applyBorder="1" applyAlignment="1">
      <alignment horizontal="left" vertical="center" wrapText="1"/>
    </xf>
    <xf numFmtId="183" fontId="26" fillId="33" borderId="22" xfId="0" applyNumberFormat="1" applyFont="1" applyFill="1" applyBorder="1" applyAlignment="1">
      <alignment vertical="center"/>
    </xf>
    <xf numFmtId="193" fontId="25" fillId="0" borderId="12" xfId="43" applyNumberFormat="1" applyFont="1" applyBorder="1" applyAlignment="1">
      <alignment vertical="center"/>
    </xf>
    <xf numFmtId="193" fontId="26" fillId="0" borderId="12" xfId="43" applyNumberFormat="1" applyFont="1" applyBorder="1" applyAlignment="1">
      <alignment vertical="center"/>
    </xf>
    <xf numFmtId="193" fontId="26" fillId="0" borderId="12" xfId="0" applyNumberFormat="1" applyFont="1" applyBorder="1" applyAlignment="1">
      <alignment vertical="center"/>
    </xf>
    <xf numFmtId="193" fontId="26" fillId="0" borderId="12" xfId="0" applyNumberFormat="1" applyFont="1" applyFill="1" applyBorder="1" applyAlignment="1">
      <alignment vertical="center"/>
    </xf>
    <xf numFmtId="193" fontId="26" fillId="0" borderId="13" xfId="43" applyNumberFormat="1" applyFont="1" applyBorder="1" applyAlignment="1">
      <alignment vertical="center"/>
    </xf>
    <xf numFmtId="193" fontId="26" fillId="33" borderId="12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94" fontId="21" fillId="0" borderId="0" xfId="43" applyNumberFormat="1" applyFont="1" applyAlignment="1">
      <alignment/>
    </xf>
    <xf numFmtId="210" fontId="21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2" fontId="6" fillId="0" borderId="12" xfId="0" applyNumberFormat="1" applyFont="1" applyFill="1" applyBorder="1" applyAlignment="1">
      <alignment horizontal="right" vertical="center"/>
    </xf>
    <xf numFmtId="4" fontId="10" fillId="0" borderId="18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2" xfId="60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220" fontId="21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/>
    </xf>
    <xf numFmtId="171" fontId="21" fillId="0" borderId="0" xfId="0" applyNumberFormat="1" applyFont="1" applyFill="1" applyBorder="1" applyAlignment="1">
      <alignment/>
    </xf>
    <xf numFmtId="194" fontId="26" fillId="0" borderId="0" xfId="43" applyNumberFormat="1" applyFont="1" applyFill="1" applyBorder="1" applyAlignment="1">
      <alignment/>
    </xf>
    <xf numFmtId="179" fontId="26" fillId="0" borderId="0" xfId="43" applyNumberFormat="1" applyFont="1" applyFill="1" applyBorder="1" applyAlignment="1">
      <alignment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5" fillId="34" borderId="2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179" fontId="21" fillId="0" borderId="0" xfId="43" applyFont="1" applyFill="1" applyBorder="1" applyAlignment="1">
      <alignment/>
    </xf>
    <xf numFmtId="171" fontId="1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02" fontId="26" fillId="0" borderId="0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>
      <alignment/>
    </xf>
    <xf numFmtId="203" fontId="21" fillId="0" borderId="0" xfId="0" applyNumberFormat="1" applyFont="1" applyFill="1" applyBorder="1" applyAlignment="1">
      <alignment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179" fontId="52" fillId="0" borderId="0" xfId="43" applyFont="1" applyBorder="1" applyAlignment="1">
      <alignment/>
    </xf>
    <xf numFmtId="179" fontId="53" fillId="0" borderId="0" xfId="43" applyFont="1" applyBorder="1" applyAlignment="1">
      <alignment/>
    </xf>
    <xf numFmtId="179" fontId="52" fillId="0" borderId="0" xfId="43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71" fontId="53" fillId="0" borderId="0" xfId="0" applyNumberFormat="1" applyFont="1" applyAlignment="1">
      <alignment/>
    </xf>
    <xf numFmtId="179" fontId="53" fillId="0" borderId="0" xfId="43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89" fillId="0" borderId="18" xfId="60" applyNumberFormat="1" applyFont="1" applyFill="1" applyBorder="1" applyAlignment="1">
      <alignment horizontal="right"/>
      <protection/>
    </xf>
    <xf numFmtId="4" fontId="89" fillId="0" borderId="12" xfId="0" applyNumberFormat="1" applyFont="1" applyBorder="1" applyAlignment="1">
      <alignment/>
    </xf>
    <xf numFmtId="0" fontId="31" fillId="0" borderId="0" xfId="0" applyFont="1" applyBorder="1" applyAlignment="1">
      <alignment/>
    </xf>
    <xf numFmtId="179" fontId="33" fillId="0" borderId="0" xfId="43" applyFont="1" applyAlignment="1">
      <alignment/>
    </xf>
    <xf numFmtId="179" fontId="33" fillId="36" borderId="0" xfId="43" applyFont="1" applyFill="1" applyAlignment="1">
      <alignment/>
    </xf>
    <xf numFmtId="0" fontId="34" fillId="0" borderId="0" xfId="0" applyFont="1" applyAlignment="1">
      <alignment/>
    </xf>
    <xf numFmtId="193" fontId="21" fillId="0" borderId="0" xfId="0" applyNumberFormat="1" applyFont="1" applyFill="1" applyBorder="1" applyAlignment="1">
      <alignment/>
    </xf>
    <xf numFmtId="179" fontId="26" fillId="0" borderId="0" xfId="43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93" fontId="25" fillId="0" borderId="12" xfId="43" applyNumberFormat="1" applyFont="1" applyBorder="1" applyAlignment="1">
      <alignment vertical="center"/>
    </xf>
    <xf numFmtId="221" fontId="21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vertical="center" wrapText="1"/>
    </xf>
    <xf numFmtId="2" fontId="26" fillId="33" borderId="13" xfId="0" applyNumberFormat="1" applyFont="1" applyFill="1" applyBorder="1" applyAlignment="1">
      <alignment vertical="center"/>
    </xf>
    <xf numFmtId="179" fontId="26" fillId="33" borderId="13" xfId="43" applyFont="1" applyFill="1" applyBorder="1" applyAlignment="1">
      <alignment vertical="center"/>
    </xf>
    <xf numFmtId="171" fontId="26" fillId="0" borderId="0" xfId="0" applyNumberFormat="1" applyFont="1" applyFill="1" applyAlignment="1">
      <alignment/>
    </xf>
    <xf numFmtId="181" fontId="26" fillId="0" borderId="0" xfId="0" applyNumberFormat="1" applyFont="1" applyFill="1" applyAlignment="1">
      <alignment vertical="center"/>
    </xf>
    <xf numFmtId="194" fontId="26" fillId="0" borderId="0" xfId="43" applyNumberFormat="1" applyFont="1" applyFill="1" applyAlignment="1">
      <alignment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Alignment="1">
      <alignment/>
    </xf>
    <xf numFmtId="220" fontId="26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 horizontal="right"/>
    </xf>
    <xf numFmtId="4" fontId="16" fillId="0" borderId="14" xfId="0" applyNumberFormat="1" applyFont="1" applyBorder="1" applyAlignment="1" quotePrefix="1">
      <alignment horizontal="center" vertical="center"/>
    </xf>
    <xf numFmtId="4" fontId="16" fillId="0" borderId="12" xfId="0" applyNumberFormat="1" applyFont="1" applyBorder="1" applyAlignment="1" quotePrefix="1">
      <alignment horizontal="center" vertical="center"/>
    </xf>
    <xf numFmtId="4" fontId="16" fillId="0" borderId="13" xfId="0" applyNumberFormat="1" applyFont="1" applyBorder="1" applyAlignment="1" quotePrefix="1">
      <alignment horizontal="center" vertical="center"/>
    </xf>
    <xf numFmtId="181" fontId="6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179" fontId="56" fillId="35" borderId="12" xfId="43" applyNumberFormat="1" applyFont="1" applyFill="1" applyBorder="1" applyAlignment="1">
      <alignment vertical="center" wrapText="1"/>
    </xf>
    <xf numFmtId="171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203" fontId="21" fillId="0" borderId="0" xfId="0" applyNumberFormat="1" applyFont="1" applyFill="1" applyAlignment="1">
      <alignment/>
    </xf>
    <xf numFmtId="181" fontId="0" fillId="0" borderId="0" xfId="0" applyNumberFormat="1" applyAlignment="1">
      <alignment/>
    </xf>
    <xf numFmtId="0" fontId="90" fillId="33" borderId="12" xfId="0" applyFont="1" applyFill="1" applyBorder="1" applyAlignment="1">
      <alignment horizontal="left" vertical="center"/>
    </xf>
    <xf numFmtId="2" fontId="91" fillId="33" borderId="12" xfId="0" applyNumberFormat="1" applyFont="1" applyFill="1" applyBorder="1" applyAlignment="1">
      <alignment horizontal="center" vertical="center"/>
    </xf>
    <xf numFmtId="194" fontId="90" fillId="0" borderId="12" xfId="43" applyNumberFormat="1" applyFont="1" applyBorder="1" applyAlignment="1">
      <alignment vertical="center"/>
    </xf>
    <xf numFmtId="194" fontId="92" fillId="33" borderId="12" xfId="43" applyNumberFormat="1" applyFont="1" applyFill="1" applyBorder="1" applyAlignment="1">
      <alignment horizontal="right" vertical="center"/>
    </xf>
    <xf numFmtId="194" fontId="90" fillId="33" borderId="12" xfId="43" applyNumberFormat="1" applyFont="1" applyFill="1" applyBorder="1" applyAlignment="1">
      <alignment horizontal="center" vertical="center"/>
    </xf>
    <xf numFmtId="193" fontId="90" fillId="0" borderId="12" xfId="43" applyNumberFormat="1" applyFont="1" applyBorder="1" applyAlignment="1">
      <alignment vertical="center"/>
    </xf>
    <xf numFmtId="2" fontId="93" fillId="0" borderId="0" xfId="0" applyNumberFormat="1" applyFont="1" applyAlignment="1">
      <alignment/>
    </xf>
    <xf numFmtId="0" fontId="93" fillId="0" borderId="0" xfId="0" applyFont="1" applyAlignment="1">
      <alignment/>
    </xf>
    <xf numFmtId="194" fontId="90" fillId="0" borderId="0" xfId="43" applyNumberFormat="1" applyFont="1" applyFill="1" applyBorder="1" applyAlignment="1">
      <alignment/>
    </xf>
    <xf numFmtId="194" fontId="90" fillId="0" borderId="0" xfId="43" applyNumberFormat="1" applyFont="1" applyFill="1" applyBorder="1" applyAlignment="1">
      <alignment horizontal="center" vertical="center"/>
    </xf>
    <xf numFmtId="179" fontId="90" fillId="0" borderId="0" xfId="43" applyNumberFormat="1" applyFont="1" applyFill="1" applyBorder="1" applyAlignment="1">
      <alignment horizontal="center" vertical="center"/>
    </xf>
    <xf numFmtId="181" fontId="93" fillId="0" borderId="0" xfId="0" applyNumberFormat="1" applyFont="1" applyFill="1" applyBorder="1" applyAlignment="1">
      <alignment/>
    </xf>
    <xf numFmtId="181" fontId="90" fillId="0" borderId="0" xfId="0" applyNumberFormat="1" applyFont="1" applyFill="1" applyAlignment="1">
      <alignment vertical="center"/>
    </xf>
    <xf numFmtId="2" fontId="90" fillId="0" borderId="0" xfId="0" applyNumberFormat="1" applyFont="1" applyFill="1" applyAlignment="1">
      <alignment horizontal="right"/>
    </xf>
    <xf numFmtId="2" fontId="93" fillId="0" borderId="0" xfId="0" applyNumberFormat="1" applyFont="1" applyFill="1" applyAlignment="1">
      <alignment/>
    </xf>
    <xf numFmtId="0" fontId="93" fillId="0" borderId="0" xfId="0" applyFont="1" applyFill="1" applyAlignment="1">
      <alignment/>
    </xf>
    <xf numFmtId="0" fontId="90" fillId="33" borderId="12" xfId="0" applyFont="1" applyFill="1" applyBorder="1" applyAlignment="1">
      <alignment horizontal="left" vertical="center" wrapText="1"/>
    </xf>
    <xf numFmtId="194" fontId="94" fillId="35" borderId="12" xfId="43" applyNumberFormat="1" applyFont="1" applyFill="1" applyBorder="1" applyAlignment="1">
      <alignment vertical="center" wrapText="1"/>
    </xf>
    <xf numFmtId="194" fontId="90" fillId="33" borderId="12" xfId="43" applyNumberFormat="1" applyFont="1" applyFill="1" applyBorder="1" applyAlignment="1">
      <alignment horizontal="right" vertical="center"/>
    </xf>
    <xf numFmtId="0" fontId="90" fillId="0" borderId="0" xfId="0" applyFont="1" applyAlignment="1">
      <alignment/>
    </xf>
    <xf numFmtId="0" fontId="90" fillId="0" borderId="0" xfId="0" applyFont="1" applyFill="1" applyAlignment="1">
      <alignment/>
    </xf>
    <xf numFmtId="0" fontId="26" fillId="36" borderId="12" xfId="0" applyFont="1" applyFill="1" applyBorder="1" applyAlignment="1">
      <alignment horizontal="left" vertical="center"/>
    </xf>
    <xf numFmtId="2" fontId="28" fillId="36" borderId="12" xfId="0" applyNumberFormat="1" applyFont="1" applyFill="1" applyBorder="1" applyAlignment="1">
      <alignment horizontal="center" vertical="center"/>
    </xf>
    <xf numFmtId="194" fontId="26" fillId="36" borderId="12" xfId="43" applyNumberFormat="1" applyFont="1" applyFill="1" applyBorder="1" applyAlignment="1">
      <alignment vertical="center"/>
    </xf>
    <xf numFmtId="194" fontId="25" fillId="36" borderId="12" xfId="43" applyNumberFormat="1" applyFont="1" applyFill="1" applyBorder="1" applyAlignment="1">
      <alignment horizontal="right" vertical="center"/>
    </xf>
    <xf numFmtId="194" fontId="26" fillId="36" borderId="12" xfId="43" applyNumberFormat="1" applyFont="1" applyFill="1" applyBorder="1" applyAlignment="1">
      <alignment horizontal="center" vertical="center"/>
    </xf>
    <xf numFmtId="193" fontId="26" fillId="36" borderId="12" xfId="43" applyNumberFormat="1" applyFont="1" applyFill="1" applyBorder="1" applyAlignment="1">
      <alignment vertical="center"/>
    </xf>
    <xf numFmtId="2" fontId="21" fillId="36" borderId="0" xfId="0" applyNumberFormat="1" applyFont="1" applyFill="1" applyAlignment="1">
      <alignment/>
    </xf>
    <xf numFmtId="210" fontId="21" fillId="36" borderId="0" xfId="0" applyNumberFormat="1" applyFont="1" applyFill="1" applyAlignment="1">
      <alignment/>
    </xf>
    <xf numFmtId="179" fontId="26" fillId="36" borderId="0" xfId="43" applyNumberFormat="1" applyFont="1" applyFill="1" applyBorder="1" applyAlignment="1">
      <alignment/>
    </xf>
    <xf numFmtId="194" fontId="26" fillId="36" borderId="0" xfId="43" applyNumberFormat="1" applyFont="1" applyFill="1" applyBorder="1" applyAlignment="1">
      <alignment horizontal="center" vertical="center"/>
    </xf>
    <xf numFmtId="179" fontId="26" fillId="36" borderId="0" xfId="43" applyNumberFormat="1" applyFont="1" applyFill="1" applyBorder="1" applyAlignment="1">
      <alignment horizontal="center" vertical="center"/>
    </xf>
    <xf numFmtId="194" fontId="26" fillId="36" borderId="0" xfId="43" applyNumberFormat="1" applyFont="1" applyFill="1" applyBorder="1" applyAlignment="1">
      <alignment/>
    </xf>
    <xf numFmtId="181" fontId="21" fillId="36" borderId="0" xfId="0" applyNumberFormat="1" applyFont="1" applyFill="1" applyBorder="1" applyAlignment="1">
      <alignment/>
    </xf>
    <xf numFmtId="181" fontId="26" fillId="36" borderId="0" xfId="0" applyNumberFormat="1" applyFont="1" applyFill="1" applyAlignment="1">
      <alignment vertical="center"/>
    </xf>
    <xf numFmtId="2" fontId="26" fillId="36" borderId="0" xfId="0" applyNumberFormat="1" applyFont="1" applyFill="1" applyAlignment="1">
      <alignment horizontal="right"/>
    </xf>
    <xf numFmtId="0" fontId="21" fillId="36" borderId="0" xfId="0" applyFont="1" applyFill="1" applyAlignment="1">
      <alignment/>
    </xf>
    <xf numFmtId="194" fontId="26" fillId="36" borderId="12" xfId="43" applyNumberFormat="1" applyFont="1" applyFill="1" applyBorder="1" applyAlignment="1">
      <alignment horizontal="right" vertical="center"/>
    </xf>
    <xf numFmtId="2" fontId="26" fillId="36" borderId="12" xfId="0" applyNumberFormat="1" applyFont="1" applyFill="1" applyBorder="1" applyAlignment="1">
      <alignment horizontal="left" vertical="center"/>
    </xf>
    <xf numFmtId="179" fontId="8" fillId="0" borderId="0" xfId="43" applyFont="1" applyAlignment="1">
      <alignment/>
    </xf>
    <xf numFmtId="171" fontId="8" fillId="0" borderId="0" xfId="0" applyNumberFormat="1" applyFont="1" applyAlignment="1">
      <alignment/>
    </xf>
    <xf numFmtId="0" fontId="13" fillId="0" borderId="14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96" fontId="62" fillId="0" borderId="14" xfId="0" applyNumberFormat="1" applyFont="1" applyFill="1" applyBorder="1" applyAlignment="1" applyProtection="1">
      <alignment horizontal="right" vertical="center"/>
      <protection/>
    </xf>
    <xf numFmtId="196" fontId="6" fillId="0" borderId="0" xfId="0" applyNumberFormat="1" applyFont="1" applyAlignment="1" applyProtection="1">
      <alignment horizontal="left" vertical="center" wrapText="1"/>
      <protection/>
    </xf>
    <xf numFmtId="196" fontId="52" fillId="0" borderId="12" xfId="0" applyNumberFormat="1" applyFont="1" applyFill="1" applyBorder="1" applyAlignment="1" applyProtection="1">
      <alignment horizontal="right"/>
      <protection/>
    </xf>
    <xf numFmtId="196" fontId="52" fillId="0" borderId="12" xfId="0" applyNumberFormat="1" applyFont="1" applyFill="1" applyBorder="1" applyAlignment="1" applyProtection="1">
      <alignment horizontal="right" vertical="center"/>
      <protection/>
    </xf>
    <xf numFmtId="196" fontId="52" fillId="0" borderId="12" xfId="0" applyNumberFormat="1" applyFont="1" applyFill="1" applyBorder="1" applyAlignment="1" applyProtection="1">
      <alignment horizontal="right" vertical="center"/>
      <protection/>
    </xf>
    <xf numFmtId="196" fontId="52" fillId="0" borderId="13" xfId="0" applyNumberFormat="1" applyFont="1" applyFill="1" applyBorder="1" applyAlignment="1" applyProtection="1">
      <alignment horizontal="right" vertical="center"/>
      <protection/>
    </xf>
    <xf numFmtId="183" fontId="26" fillId="33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25" fillId="33" borderId="24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>
      <alignment/>
    </xf>
    <xf numFmtId="0" fontId="25" fillId="33" borderId="26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/>
      <protection/>
    </xf>
    <xf numFmtId="0" fontId="25" fillId="33" borderId="21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79" fontId="52" fillId="0" borderId="0" xfId="43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25" fillId="34" borderId="20" xfId="0" applyFont="1" applyFill="1" applyBorder="1" applyAlignment="1" applyProtection="1">
      <alignment horizontal="center" vertical="center" wrapText="1"/>
      <protection/>
    </xf>
    <xf numFmtId="0" fontId="25" fillId="34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/>
    </xf>
    <xf numFmtId="0" fontId="65" fillId="37" borderId="32" xfId="62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0" fontId="33" fillId="0" borderId="33" xfId="62" applyFont="1" applyFill="1" applyBorder="1" applyAlignment="1">
      <alignment horizontal="center" wrapText="1"/>
      <protection/>
    </xf>
    <xf numFmtId="0" fontId="33" fillId="0" borderId="33" xfId="62" applyFont="1" applyFill="1" applyBorder="1" applyAlignment="1">
      <alignment wrapText="1"/>
      <protection/>
    </xf>
    <xf numFmtId="0" fontId="0" fillId="0" borderId="34" xfId="0" applyFont="1" applyBorder="1" applyAlignment="1">
      <alignment/>
    </xf>
    <xf numFmtId="0" fontId="33" fillId="0" borderId="34" xfId="62" applyFont="1" applyFill="1" applyBorder="1" applyAlignment="1">
      <alignment horizontal="center" wrapText="1"/>
      <protection/>
    </xf>
    <xf numFmtId="0" fontId="33" fillId="0" borderId="34" xfId="62" applyFont="1" applyFill="1" applyBorder="1" applyAlignment="1">
      <alignment wrapText="1"/>
      <protection/>
    </xf>
    <xf numFmtId="0" fontId="0" fillId="0" borderId="35" xfId="0" applyFont="1" applyBorder="1" applyAlignment="1">
      <alignment/>
    </xf>
    <xf numFmtId="0" fontId="33" fillId="0" borderId="35" xfId="62" applyFont="1" applyFill="1" applyBorder="1" applyAlignment="1">
      <alignment horizontal="center" wrapText="1"/>
      <protection/>
    </xf>
    <xf numFmtId="0" fontId="33" fillId="0" borderId="35" xfId="62" applyFont="1" applyFill="1" applyBorder="1" applyAlignment="1">
      <alignment wrapText="1"/>
      <protection/>
    </xf>
    <xf numFmtId="0" fontId="7" fillId="0" borderId="20" xfId="0" applyFont="1" applyBorder="1" applyAlignment="1">
      <alignment horizontal="center"/>
    </xf>
    <xf numFmtId="0" fontId="66" fillId="0" borderId="36" xfId="62" applyFont="1" applyFill="1" applyBorder="1" applyAlignment="1">
      <alignment horizontal="center" wrapText="1"/>
      <protection/>
    </xf>
    <xf numFmtId="0" fontId="66" fillId="0" borderId="37" xfId="62" applyFont="1" applyFill="1" applyBorder="1" applyAlignment="1">
      <alignment horizontal="center" wrapText="1"/>
      <protection/>
    </xf>
    <xf numFmtId="3" fontId="33" fillId="0" borderId="38" xfId="62" applyNumberFormat="1" applyFont="1" applyFill="1" applyBorder="1" applyAlignment="1">
      <alignment horizontal="right" wrapText="1"/>
      <protection/>
    </xf>
    <xf numFmtId="3" fontId="33" fillId="0" borderId="39" xfId="62" applyNumberFormat="1" applyFont="1" applyFill="1" applyBorder="1" applyAlignment="1">
      <alignment horizontal="right" wrapText="1"/>
      <protection/>
    </xf>
    <xf numFmtId="3" fontId="33" fillId="0" borderId="40" xfId="62" applyNumberFormat="1" applyFont="1" applyFill="1" applyBorder="1" applyAlignment="1">
      <alignment horizontal="right" wrapText="1"/>
      <protection/>
    </xf>
    <xf numFmtId="3" fontId="7" fillId="0" borderId="20" xfId="0" applyNumberFormat="1" applyFont="1" applyBorder="1" applyAlignment="1">
      <alignment horizontal="right"/>
    </xf>
    <xf numFmtId="0" fontId="65" fillId="37" borderId="41" xfId="62" applyFont="1" applyFill="1" applyBorder="1" applyAlignment="1">
      <alignment horizontal="center" vertical="center" wrapText="1"/>
      <protection/>
    </xf>
    <xf numFmtId="3" fontId="33" fillId="0" borderId="42" xfId="62" applyNumberFormat="1" applyFont="1" applyFill="1" applyBorder="1" applyAlignment="1">
      <alignment horizontal="right" wrapText="1"/>
      <protection/>
    </xf>
    <xf numFmtId="3" fontId="33" fillId="0" borderId="43" xfId="62" applyNumberFormat="1" applyFont="1" applyFill="1" applyBorder="1" applyAlignment="1">
      <alignment horizontal="right" wrapText="1"/>
      <protection/>
    </xf>
    <xf numFmtId="3" fontId="33" fillId="0" borderId="44" xfId="62" applyNumberFormat="1" applyFont="1" applyFill="1" applyBorder="1" applyAlignment="1">
      <alignment horizontal="right" wrapText="1"/>
      <protection/>
    </xf>
    <xf numFmtId="0" fontId="7" fillId="0" borderId="15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7" fillId="0" borderId="45" xfId="0" applyFont="1" applyBorder="1" applyAlignment="1">
      <alignment/>
    </xf>
    <xf numFmtId="0" fontId="64" fillId="0" borderId="45" xfId="61" applyFont="1" applyFill="1" applyBorder="1" applyAlignment="1">
      <alignment wrapText="1"/>
      <protection/>
    </xf>
    <xf numFmtId="3" fontId="64" fillId="0" borderId="45" xfId="61" applyNumberFormat="1" applyFont="1" applyFill="1" applyBorder="1" applyAlignment="1">
      <alignment horizontal="right" wrapText="1"/>
      <protection/>
    </xf>
    <xf numFmtId="0" fontId="64" fillId="0" borderId="45" xfId="61" applyFont="1" applyFill="1" applyBorder="1" applyAlignment="1">
      <alignment horizontal="right" wrapText="1"/>
      <protection/>
    </xf>
    <xf numFmtId="0" fontId="67" fillId="0" borderId="46" xfId="0" applyFont="1" applyBorder="1" applyAlignment="1">
      <alignment/>
    </xf>
    <xf numFmtId="0" fontId="64" fillId="0" borderId="46" xfId="61" applyFont="1" applyFill="1" applyBorder="1" applyAlignment="1">
      <alignment wrapText="1"/>
      <protection/>
    </xf>
    <xf numFmtId="3" fontId="64" fillId="0" borderId="46" xfId="61" applyNumberFormat="1" applyFont="1" applyFill="1" applyBorder="1" applyAlignment="1">
      <alignment horizontal="right" wrapText="1"/>
      <protection/>
    </xf>
    <xf numFmtId="0" fontId="64" fillId="0" borderId="46" xfId="61" applyFont="1" applyFill="1" applyBorder="1" applyAlignment="1">
      <alignment horizontal="right" wrapText="1"/>
      <protection/>
    </xf>
    <xf numFmtId="0" fontId="64" fillId="0" borderId="47" xfId="61" applyFont="1" applyFill="1" applyBorder="1" applyAlignment="1">
      <alignment wrapText="1"/>
      <protection/>
    </xf>
    <xf numFmtId="3" fontId="64" fillId="0" borderId="47" xfId="61" applyNumberFormat="1" applyFont="1" applyFill="1" applyBorder="1" applyAlignment="1">
      <alignment horizontal="right" wrapText="1"/>
      <protection/>
    </xf>
    <xf numFmtId="0" fontId="64" fillId="0" borderId="47" xfId="61" applyFont="1" applyFill="1" applyBorder="1" applyAlignment="1">
      <alignment horizontal="right" wrapText="1"/>
      <protection/>
    </xf>
    <xf numFmtId="0" fontId="69" fillId="0" borderId="36" xfId="62" applyFont="1" applyFill="1" applyBorder="1" applyAlignment="1">
      <alignment horizontal="center" wrapText="1"/>
      <protection/>
    </xf>
    <xf numFmtId="0" fontId="69" fillId="0" borderId="37" xfId="62" applyFont="1" applyFill="1" applyBorder="1" applyAlignment="1">
      <alignment horizontal="center" wrapText="1"/>
      <protection/>
    </xf>
    <xf numFmtId="3" fontId="68" fillId="0" borderId="20" xfId="0" applyNumberFormat="1" applyFont="1" applyBorder="1" applyAlignment="1">
      <alignment horizontal="right"/>
    </xf>
    <xf numFmtId="0" fontId="68" fillId="0" borderId="15" xfId="0" applyFont="1" applyBorder="1" applyAlignment="1">
      <alignment horizontal="center"/>
    </xf>
  </cellXfs>
  <cellStyles count="5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rmal_DNghiepNK&gt;100trUSD" xfId="61"/>
    <cellStyle name="Normal_DNghiepXK&gt;100trUS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361950" cy="304800"/>
    <xdr:sp>
      <xdr:nvSpPr>
        <xdr:cNvPr id="1" name="AutoShape 1" descr="sanluongmotsospcn-12-2016.png"/>
        <xdr:cNvSpPr>
          <a:spLocks noChangeAspect="1"/>
        </xdr:cNvSpPr>
      </xdr:nvSpPr>
      <xdr:spPr>
        <a:xfrm>
          <a:off x="0" y="12573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61950" cy="304800"/>
    <xdr:sp>
      <xdr:nvSpPr>
        <xdr:cNvPr id="2" name="AutoShape 2" descr="sanluongmotsospcn-12-2016.png"/>
        <xdr:cNvSpPr>
          <a:spLocks noChangeAspect="1"/>
        </xdr:cNvSpPr>
      </xdr:nvSpPr>
      <xdr:spPr>
        <a:xfrm>
          <a:off x="0" y="12573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PageLayoutView="0" workbookViewId="0" topLeftCell="A1">
      <selection activeCell="F11" sqref="F1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1.0859375" style="32" customWidth="1"/>
    <col min="5" max="5" width="10.99609375" style="32" customWidth="1"/>
    <col min="6" max="6" width="8.90625" style="32" customWidth="1"/>
    <col min="7" max="7" width="10.0859375" style="32" hidden="1" customWidth="1"/>
    <col min="8" max="9" width="0" style="32" hidden="1" customWidth="1"/>
    <col min="10" max="16384" width="8.90625" style="32" customWidth="1"/>
  </cols>
  <sheetData>
    <row r="1" ht="15" customHeight="1">
      <c r="B1" s="33" t="s">
        <v>7</v>
      </c>
    </row>
    <row r="2" spans="2:6" ht="29.25" customHeight="1">
      <c r="B2" s="322" t="s">
        <v>152</v>
      </c>
      <c r="C2" s="322"/>
      <c r="D2" s="322"/>
      <c r="E2" s="322"/>
      <c r="F2" s="322"/>
    </row>
    <row r="3" ht="14.25" customHeight="1">
      <c r="E3" s="34" t="s">
        <v>135</v>
      </c>
    </row>
    <row r="4" spans="1:9" ht="31.5" customHeight="1">
      <c r="A4" s="325" t="s">
        <v>34</v>
      </c>
      <c r="B4" s="325" t="s">
        <v>35</v>
      </c>
      <c r="C4" s="325" t="s">
        <v>167</v>
      </c>
      <c r="D4" s="328" t="s">
        <v>168</v>
      </c>
      <c r="E4" s="329"/>
      <c r="F4" s="330" t="s">
        <v>169</v>
      </c>
      <c r="G4" s="323" t="s">
        <v>139</v>
      </c>
      <c r="H4" s="324"/>
      <c r="I4" s="225" t="s">
        <v>141</v>
      </c>
    </row>
    <row r="5" spans="1:9" ht="31.5" customHeight="1">
      <c r="A5" s="326"/>
      <c r="B5" s="326"/>
      <c r="C5" s="327"/>
      <c r="D5" s="212" t="s">
        <v>50</v>
      </c>
      <c r="E5" s="212" t="s">
        <v>51</v>
      </c>
      <c r="F5" s="331"/>
      <c r="G5" s="224" t="s">
        <v>140</v>
      </c>
      <c r="H5" s="226" t="s">
        <v>51</v>
      </c>
      <c r="I5" s="225"/>
    </row>
    <row r="6" spans="1:6" ht="18" customHeight="1">
      <c r="A6" s="213" t="s">
        <v>10</v>
      </c>
      <c r="B6" s="214" t="s">
        <v>11</v>
      </c>
      <c r="C6" s="214">
        <v>1</v>
      </c>
      <c r="D6" s="213">
        <v>2</v>
      </c>
      <c r="E6" s="213">
        <v>3</v>
      </c>
      <c r="F6" s="214">
        <v>4</v>
      </c>
    </row>
    <row r="7" spans="1:9" ht="15.75">
      <c r="A7" s="35"/>
      <c r="B7" s="215" t="s">
        <v>44</v>
      </c>
      <c r="C7" s="314">
        <v>106.133884560886</v>
      </c>
      <c r="D7" s="314">
        <v>102.40942449379</v>
      </c>
      <c r="E7" s="314">
        <v>114.007468151175</v>
      </c>
      <c r="F7" s="314">
        <v>108.311350017501</v>
      </c>
      <c r="G7" s="158"/>
      <c r="I7" s="32">
        <v>108.28</v>
      </c>
    </row>
    <row r="8" spans="1:6" ht="15.75">
      <c r="A8" s="36" t="s">
        <v>36</v>
      </c>
      <c r="B8" s="79" t="s">
        <v>38</v>
      </c>
      <c r="C8" s="315"/>
      <c r="D8" s="316"/>
      <c r="E8" s="316"/>
      <c r="F8" s="316"/>
    </row>
    <row r="9" spans="1:6" ht="15.75">
      <c r="A9" s="61">
        <v>1</v>
      </c>
      <c r="B9" s="216" t="s">
        <v>40</v>
      </c>
      <c r="C9" s="317">
        <v>107.738809653256</v>
      </c>
      <c r="D9" s="317">
        <v>104.771694237434</v>
      </c>
      <c r="E9" s="317">
        <v>104.323606199156</v>
      </c>
      <c r="F9" s="317">
        <v>108.464084661782</v>
      </c>
    </row>
    <row r="10" spans="1:9" ht="15.75">
      <c r="A10" s="61">
        <v>2</v>
      </c>
      <c r="B10" s="216" t="s">
        <v>41</v>
      </c>
      <c r="C10" s="317">
        <v>106.128880161835</v>
      </c>
      <c r="D10" s="317">
        <v>102.382960404617</v>
      </c>
      <c r="E10" s="317">
        <v>114.309315314544</v>
      </c>
      <c r="F10" s="317">
        <v>108.400081637188</v>
      </c>
      <c r="I10" s="32">
        <v>108.3</v>
      </c>
    </row>
    <row r="11" spans="1:7" ht="15.75">
      <c r="A11" s="61">
        <v>3</v>
      </c>
      <c r="B11" s="216" t="s">
        <v>42</v>
      </c>
      <c r="C11" s="317">
        <v>103.898449908567</v>
      </c>
      <c r="D11" s="317">
        <v>101.147539478273</v>
      </c>
      <c r="E11" s="317">
        <v>104.362368268602</v>
      </c>
      <c r="F11" s="317">
        <v>100.684731799888</v>
      </c>
      <c r="G11" s="158"/>
    </row>
    <row r="12" spans="1:6" ht="15.75">
      <c r="A12" s="61">
        <v>4</v>
      </c>
      <c r="B12" s="216" t="s">
        <v>43</v>
      </c>
      <c r="C12" s="317">
        <v>104.641812865497</v>
      </c>
      <c r="D12" s="317">
        <v>100.61706834323</v>
      </c>
      <c r="E12" s="317">
        <v>104.764213844102</v>
      </c>
      <c r="F12" s="317">
        <v>101.77761188003</v>
      </c>
    </row>
    <row r="13" spans="1:6" ht="15.75">
      <c r="A13" s="36" t="s">
        <v>37</v>
      </c>
      <c r="B13" s="79" t="s">
        <v>39</v>
      </c>
      <c r="C13" s="316"/>
      <c r="D13" s="316"/>
      <c r="E13" s="316"/>
      <c r="F13" s="316"/>
    </row>
    <row r="14" spans="1:6" ht="15.75">
      <c r="A14" s="61">
        <v>1</v>
      </c>
      <c r="B14" s="108" t="s">
        <v>111</v>
      </c>
      <c r="C14" s="317">
        <v>107.738809653256</v>
      </c>
      <c r="D14" s="317">
        <v>104.771694237434</v>
      </c>
      <c r="E14" s="317">
        <v>104.323606199156</v>
      </c>
      <c r="F14" s="317">
        <v>108.464084661782</v>
      </c>
    </row>
    <row r="15" spans="1:6" ht="15.75">
      <c r="A15" s="61">
        <f>A14+1</f>
        <v>2</v>
      </c>
      <c r="B15" s="108" t="s">
        <v>112</v>
      </c>
      <c r="C15" s="317">
        <v>101.701034731783</v>
      </c>
      <c r="D15" s="317">
        <v>101.727577375054</v>
      </c>
      <c r="E15" s="317">
        <v>111.159653595674</v>
      </c>
      <c r="F15" s="317">
        <v>106.058974937397</v>
      </c>
    </row>
    <row r="16" spans="1:6" ht="15.75">
      <c r="A16" s="61">
        <f aca="true" t="shared" si="0" ref="A16:A31">A15+1</f>
        <v>3</v>
      </c>
      <c r="B16" s="108" t="s">
        <v>113</v>
      </c>
      <c r="C16" s="318">
        <v>96.8116767429266</v>
      </c>
      <c r="D16" s="318">
        <v>101.095697088218</v>
      </c>
      <c r="E16" s="318">
        <v>119.911970627011</v>
      </c>
      <c r="F16" s="318">
        <v>109.635792506946</v>
      </c>
    </row>
    <row r="17" spans="1:6" ht="15.75">
      <c r="A17" s="61">
        <f t="shared" si="0"/>
        <v>4</v>
      </c>
      <c r="B17" s="108" t="s">
        <v>114</v>
      </c>
      <c r="C17" s="318">
        <v>111.761197279084</v>
      </c>
      <c r="D17" s="318">
        <v>106.079399966568</v>
      </c>
      <c r="E17" s="318">
        <v>113.298584875512</v>
      </c>
      <c r="F17" s="318">
        <v>103.089202809344</v>
      </c>
    </row>
    <row r="18" spans="1:6" ht="15.75">
      <c r="A18" s="61">
        <f t="shared" si="0"/>
        <v>5</v>
      </c>
      <c r="B18" s="108" t="s">
        <v>115</v>
      </c>
      <c r="C18" s="318">
        <v>92.3606826620954</v>
      </c>
      <c r="D18" s="318">
        <v>108.419490715861</v>
      </c>
      <c r="E18" s="318">
        <v>126.681376993841</v>
      </c>
      <c r="F18" s="318">
        <v>105.012809106516</v>
      </c>
    </row>
    <row r="19" spans="1:6" ht="15.75">
      <c r="A19" s="61">
        <f t="shared" si="0"/>
        <v>6</v>
      </c>
      <c r="B19" s="108" t="s">
        <v>116</v>
      </c>
      <c r="C19" s="318">
        <v>97.6438578628509</v>
      </c>
      <c r="D19" s="318">
        <v>104.394129789952</v>
      </c>
      <c r="E19" s="318">
        <v>113.459787482784</v>
      </c>
      <c r="F19" s="318">
        <v>112.076855562391</v>
      </c>
    </row>
    <row r="20" spans="1:6" ht="15.75">
      <c r="A20" s="61">
        <f t="shared" si="0"/>
        <v>7</v>
      </c>
      <c r="B20" s="108" t="s">
        <v>117</v>
      </c>
      <c r="C20" s="318">
        <v>117.205562470339</v>
      </c>
      <c r="D20" s="318">
        <v>103.459413657256</v>
      </c>
      <c r="E20" s="318">
        <v>112.910860022328</v>
      </c>
      <c r="F20" s="318">
        <v>109.102286914734</v>
      </c>
    </row>
    <row r="21" spans="1:6" ht="15.75">
      <c r="A21" s="61">
        <f t="shared" si="0"/>
        <v>8</v>
      </c>
      <c r="B21" s="108" t="s">
        <v>118</v>
      </c>
      <c r="C21" s="318">
        <v>123.114850036133</v>
      </c>
      <c r="D21" s="318">
        <v>97.4484331762908</v>
      </c>
      <c r="E21" s="318">
        <v>111.630346868876</v>
      </c>
      <c r="F21" s="318">
        <v>111.127543927875</v>
      </c>
    </row>
    <row r="22" spans="1:6" ht="15.75">
      <c r="A22" s="61">
        <f t="shared" si="0"/>
        <v>9</v>
      </c>
      <c r="B22" s="108" t="s">
        <v>119</v>
      </c>
      <c r="C22" s="318">
        <v>123.378363588226</v>
      </c>
      <c r="D22" s="318">
        <v>102.274514454705</v>
      </c>
      <c r="E22" s="318">
        <v>121.621850911535</v>
      </c>
      <c r="F22" s="318">
        <v>113.800732013478</v>
      </c>
    </row>
    <row r="23" spans="1:11" ht="15.75">
      <c r="A23" s="61">
        <f t="shared" si="0"/>
        <v>10</v>
      </c>
      <c r="B23" s="108" t="s">
        <v>120</v>
      </c>
      <c r="C23" s="318">
        <v>133.149417492671</v>
      </c>
      <c r="D23" s="318">
        <v>88.1879367117341</v>
      </c>
      <c r="E23" s="318">
        <v>115.746534291729</v>
      </c>
      <c r="F23" s="318">
        <v>111.048683933897</v>
      </c>
      <c r="K23" s="261"/>
    </row>
    <row r="24" spans="1:6" ht="15.75">
      <c r="A24" s="61">
        <f t="shared" si="0"/>
        <v>11</v>
      </c>
      <c r="B24" s="108" t="s">
        <v>121</v>
      </c>
      <c r="C24" s="318">
        <v>93.0580057541271</v>
      </c>
      <c r="D24" s="318">
        <v>102.828227617724</v>
      </c>
      <c r="E24" s="318">
        <v>108.267573325214</v>
      </c>
      <c r="F24" s="318">
        <v>101.090399291983</v>
      </c>
    </row>
    <row r="25" spans="1:6" ht="15.75">
      <c r="A25" s="61">
        <f t="shared" si="0"/>
        <v>12</v>
      </c>
      <c r="B25" s="108" t="s">
        <v>122</v>
      </c>
      <c r="C25" s="318">
        <v>112.830271546005</v>
      </c>
      <c r="D25" s="318">
        <v>102.106629524486</v>
      </c>
      <c r="E25" s="318">
        <v>110.599529606709</v>
      </c>
      <c r="F25" s="318">
        <v>106.64051285405</v>
      </c>
    </row>
    <row r="26" spans="1:7" ht="15.75">
      <c r="A26" s="61">
        <f t="shared" si="0"/>
        <v>13</v>
      </c>
      <c r="B26" s="108" t="s">
        <v>123</v>
      </c>
      <c r="C26" s="318">
        <v>112.497193824192</v>
      </c>
      <c r="D26" s="318">
        <v>107.835409050928</v>
      </c>
      <c r="E26" s="318">
        <v>115.848625112255</v>
      </c>
      <c r="F26" s="318">
        <v>107.827369221677</v>
      </c>
      <c r="G26" s="158"/>
    </row>
    <row r="27" spans="1:6" ht="15.75">
      <c r="A27" s="61">
        <f t="shared" si="0"/>
        <v>14</v>
      </c>
      <c r="B27" s="108" t="s">
        <v>124</v>
      </c>
      <c r="C27" s="318">
        <v>132.250164326116</v>
      </c>
      <c r="D27" s="318">
        <v>99.8256937162156</v>
      </c>
      <c r="E27" s="318">
        <v>115.351278760414</v>
      </c>
      <c r="F27" s="318">
        <v>114.147308460732</v>
      </c>
    </row>
    <row r="28" spans="1:7" ht="15.75">
      <c r="A28" s="61">
        <f t="shared" si="0"/>
        <v>15</v>
      </c>
      <c r="B28" s="108" t="s">
        <v>125</v>
      </c>
      <c r="C28" s="317">
        <v>130.574596798841</v>
      </c>
      <c r="D28" s="317">
        <v>100.477043910163</v>
      </c>
      <c r="E28" s="317">
        <v>122.529342726556</v>
      </c>
      <c r="F28" s="317">
        <v>103.116826795995</v>
      </c>
      <c r="G28" s="158"/>
    </row>
    <row r="29" spans="1:6" ht="15.75">
      <c r="A29" s="61">
        <f t="shared" si="0"/>
        <v>16</v>
      </c>
      <c r="B29" s="108" t="s">
        <v>128</v>
      </c>
      <c r="C29" s="317">
        <v>118.836311149255</v>
      </c>
      <c r="D29" s="317">
        <v>98.4817398440706</v>
      </c>
      <c r="E29" s="317">
        <v>116.348969342047</v>
      </c>
      <c r="F29" s="317">
        <v>105.14121982608</v>
      </c>
    </row>
    <row r="30" spans="1:7" ht="15.75">
      <c r="A30" s="61">
        <f t="shared" si="0"/>
        <v>17</v>
      </c>
      <c r="B30" s="108" t="s">
        <v>126</v>
      </c>
      <c r="C30" s="317">
        <v>103.898449908567</v>
      </c>
      <c r="D30" s="317">
        <v>101.147539478273</v>
      </c>
      <c r="E30" s="317">
        <v>104.362368268602</v>
      </c>
      <c r="F30" s="317">
        <v>100.684731799888</v>
      </c>
      <c r="G30" s="158"/>
    </row>
    <row r="31" spans="1:7" ht="15.75">
      <c r="A31" s="62">
        <f t="shared" si="0"/>
        <v>18</v>
      </c>
      <c r="B31" s="109" t="s">
        <v>127</v>
      </c>
      <c r="C31" s="319">
        <v>104.641812865497</v>
      </c>
      <c r="D31" s="319">
        <v>100.61706834323</v>
      </c>
      <c r="E31" s="319">
        <v>104.764213844102</v>
      </c>
      <c r="F31" s="319">
        <v>101.77761188003</v>
      </c>
      <c r="G31" s="158"/>
    </row>
    <row r="32" ht="20.25" customHeight="1">
      <c r="B32" s="71" t="s">
        <v>129</v>
      </c>
    </row>
  </sheetData>
  <sheetProtection/>
  <mergeCells count="7">
    <mergeCell ref="B2:F2"/>
    <mergeCell ref="G4:H4"/>
    <mergeCell ref="A4:A5"/>
    <mergeCell ref="B4:B5"/>
    <mergeCell ref="C4:C5"/>
    <mergeCell ref="D4:E4"/>
    <mergeCell ref="F4:F5"/>
  </mergeCells>
  <printOptions/>
  <pageMargins left="0.9448818897637796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D12:D14"/>
  <sheetViews>
    <sheetView zoomScalePageLayoutView="0" workbookViewId="0" topLeftCell="A1">
      <selection activeCell="D14" sqref="D14"/>
    </sheetView>
  </sheetViews>
  <sheetFormatPr defaultColWidth="8.72265625" defaultRowHeight="16.5"/>
  <cols>
    <col min="4" max="4" width="12.36328125" style="0" bestFit="1" customWidth="1"/>
  </cols>
  <sheetData>
    <row r="12" ht="16.5">
      <c r="D12">
        <v>3708</v>
      </c>
    </row>
    <row r="13" ht="16.5">
      <c r="D13" s="321">
        <v>21000</v>
      </c>
    </row>
    <row r="14" ht="16.5">
      <c r="D14" s="321">
        <f>D13*D12</f>
        <v>77868000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4">
      <selection activeCell="D12" sqref="D12"/>
    </sheetView>
  </sheetViews>
  <sheetFormatPr defaultColWidth="8.72265625" defaultRowHeight="20.25" customHeight="1"/>
  <cols>
    <col min="1" max="1" width="3.99609375" style="32" bestFit="1" customWidth="1"/>
    <col min="2" max="2" width="64.99609375" style="32" customWidth="1"/>
    <col min="3" max="3" width="13.99609375" style="32" customWidth="1"/>
    <col min="4" max="4" width="13.90625" style="32" customWidth="1"/>
    <col min="5" max="5" width="10.99609375" style="32" customWidth="1"/>
    <col min="6" max="6" width="10.0859375" style="32" bestFit="1" customWidth="1"/>
    <col min="7" max="16384" width="8.90625" style="32" customWidth="1"/>
  </cols>
  <sheetData>
    <row r="1" ht="15" customHeight="1">
      <c r="B1" s="33" t="s">
        <v>7</v>
      </c>
    </row>
    <row r="2" spans="2:6" ht="29.25" customHeight="1">
      <c r="B2" s="322" t="s">
        <v>153</v>
      </c>
      <c r="C2" s="322"/>
      <c r="D2" s="322"/>
      <c r="E2" s="322"/>
      <c r="F2" s="322"/>
    </row>
    <row r="3" spans="4:5" ht="14.25" customHeight="1">
      <c r="D3" s="333" t="s">
        <v>130</v>
      </c>
      <c r="E3" s="333"/>
    </row>
    <row r="4" spans="1:5" ht="15.75" customHeight="1">
      <c r="A4" s="334" t="s">
        <v>34</v>
      </c>
      <c r="B4" s="334" t="s">
        <v>35</v>
      </c>
      <c r="C4" s="332" t="s">
        <v>171</v>
      </c>
      <c r="D4" s="332" t="s">
        <v>170</v>
      </c>
      <c r="E4" s="332" t="s">
        <v>172</v>
      </c>
    </row>
    <row r="5" spans="1:5" ht="51" customHeight="1">
      <c r="A5" s="335"/>
      <c r="B5" s="335"/>
      <c r="C5" s="332"/>
      <c r="D5" s="332"/>
      <c r="E5" s="332"/>
    </row>
    <row r="6" spans="1:5" ht="15.75">
      <c r="A6" s="38" t="s">
        <v>10</v>
      </c>
      <c r="B6" s="38" t="s">
        <v>11</v>
      </c>
      <c r="C6" s="38">
        <v>1</v>
      </c>
      <c r="D6" s="38">
        <v>2</v>
      </c>
      <c r="E6" s="38">
        <v>3</v>
      </c>
    </row>
    <row r="7" spans="1:6" ht="36.75" customHeight="1">
      <c r="A7" s="40" t="s">
        <v>36</v>
      </c>
      <c r="B7" s="310" t="s">
        <v>175</v>
      </c>
      <c r="C7" s="69">
        <v>464372957</v>
      </c>
      <c r="D7" s="69">
        <v>424894924</v>
      </c>
      <c r="E7" s="110">
        <v>109.29124608699728</v>
      </c>
      <c r="F7" s="164"/>
    </row>
    <row r="8" spans="1:6" ht="24" customHeight="1">
      <c r="A8" s="165">
        <v>1</v>
      </c>
      <c r="B8" s="167" t="s">
        <v>45</v>
      </c>
      <c r="C8" s="67">
        <v>2939474</v>
      </c>
      <c r="D8" s="67">
        <v>2747062</v>
      </c>
      <c r="E8" s="111">
        <v>107.00428312138568</v>
      </c>
      <c r="F8" s="164"/>
    </row>
    <row r="9" spans="1:6" ht="24" customHeight="1">
      <c r="A9" s="165">
        <v>2</v>
      </c>
      <c r="B9" s="167" t="s">
        <v>46</v>
      </c>
      <c r="C9" s="67">
        <v>451658161</v>
      </c>
      <c r="D9" s="67">
        <v>412462219</v>
      </c>
      <c r="E9" s="111">
        <v>109.50291692049497</v>
      </c>
      <c r="F9" s="164"/>
    </row>
    <row r="10" spans="1:6" ht="24" customHeight="1">
      <c r="A10" s="165">
        <v>3</v>
      </c>
      <c r="B10" s="167" t="s">
        <v>47</v>
      </c>
      <c r="C10" s="67">
        <v>9143552</v>
      </c>
      <c r="D10" s="67">
        <v>9085349</v>
      </c>
      <c r="E10" s="111">
        <v>100.64062481254159</v>
      </c>
      <c r="F10" s="164"/>
    </row>
    <row r="11" spans="1:6" ht="24" customHeight="1">
      <c r="A11" s="165">
        <v>4</v>
      </c>
      <c r="B11" s="168" t="s">
        <v>48</v>
      </c>
      <c r="C11" s="67">
        <v>631770</v>
      </c>
      <c r="D11" s="67">
        <v>600294</v>
      </c>
      <c r="E11" s="111">
        <v>105.2434307189477</v>
      </c>
      <c r="F11" s="164"/>
    </row>
    <row r="12" spans="1:6" ht="24" customHeight="1">
      <c r="A12" s="36" t="s">
        <v>37</v>
      </c>
      <c r="B12" s="41" t="s">
        <v>49</v>
      </c>
      <c r="C12" s="70">
        <v>640630424</v>
      </c>
      <c r="D12" s="70">
        <v>577729124</v>
      </c>
      <c r="E12" s="112">
        <v>110.88768029634595</v>
      </c>
      <c r="F12" s="164"/>
    </row>
    <row r="13" spans="1:6" ht="24" customHeight="1">
      <c r="A13" s="165">
        <v>1</v>
      </c>
      <c r="B13" s="168" t="s">
        <v>45</v>
      </c>
      <c r="C13" s="67">
        <v>2785830</v>
      </c>
      <c r="D13" s="67">
        <v>2575930</v>
      </c>
      <c r="E13" s="111">
        <v>108.14851335245912</v>
      </c>
      <c r="F13" s="164"/>
    </row>
    <row r="14" spans="1:6" ht="24" customHeight="1">
      <c r="A14" s="165">
        <f>A13+1</f>
        <v>2</v>
      </c>
      <c r="B14" s="168" t="s">
        <v>46</v>
      </c>
      <c r="C14" s="67">
        <v>625179738</v>
      </c>
      <c r="D14" s="67">
        <v>562666973</v>
      </c>
      <c r="E14" s="113">
        <v>111.11008251767427</v>
      </c>
      <c r="F14" s="164"/>
    </row>
    <row r="15" spans="1:6" ht="24" customHeight="1">
      <c r="A15" s="165">
        <f>A14+1</f>
        <v>3</v>
      </c>
      <c r="B15" s="168" t="s">
        <v>47</v>
      </c>
      <c r="C15" s="67">
        <v>11643379</v>
      </c>
      <c r="D15" s="67">
        <v>11522633</v>
      </c>
      <c r="E15" s="113">
        <v>101.04790285345373</v>
      </c>
      <c r="F15" s="164"/>
    </row>
    <row r="16" spans="1:6" ht="24" customHeight="1">
      <c r="A16" s="166">
        <v>4</v>
      </c>
      <c r="B16" s="169" t="s">
        <v>48</v>
      </c>
      <c r="C16" s="68">
        <v>1021477</v>
      </c>
      <c r="D16" s="68">
        <v>963588</v>
      </c>
      <c r="E16" s="114">
        <v>106.00765057265139</v>
      </c>
      <c r="F16" s="164"/>
    </row>
    <row r="17" spans="2:6" ht="20.25" customHeight="1">
      <c r="B17" s="72" t="s">
        <v>132</v>
      </c>
      <c r="F17" s="164"/>
    </row>
    <row r="18" ht="20.25" customHeight="1">
      <c r="B18" s="72"/>
    </row>
  </sheetData>
  <sheetProtection/>
  <mergeCells count="7">
    <mergeCell ref="B2:F2"/>
    <mergeCell ref="C4:C5"/>
    <mergeCell ref="D4:D5"/>
    <mergeCell ref="E4:E5"/>
    <mergeCell ref="D3:E3"/>
    <mergeCell ref="A4:A5"/>
    <mergeCell ref="B4:B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5:A11"/>
  <sheetViews>
    <sheetView zoomScalePageLayoutView="0" workbookViewId="0" topLeftCell="A1">
      <selection activeCell="A5" sqref="A5"/>
    </sheetView>
  </sheetViews>
  <sheetFormatPr defaultColWidth="8.72265625" defaultRowHeight="16.5"/>
  <sheetData>
    <row r="5" ht="16.5">
      <c r="A5" s="311"/>
    </row>
    <row r="6" ht="16.5">
      <c r="A6" s="311"/>
    </row>
    <row r="7" ht="16.5">
      <c r="A7" s="311"/>
    </row>
    <row r="8" ht="16.5">
      <c r="A8" s="311"/>
    </row>
    <row r="9" ht="16.5">
      <c r="A9" s="312"/>
    </row>
    <row r="10" ht="16.5">
      <c r="A10" s="313"/>
    </row>
    <row r="11" ht="16.5">
      <c r="A11" s="3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2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A2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9.453125" style="42" customWidth="1"/>
    <col min="5" max="5" width="9.6328125" style="0" customWidth="1"/>
    <col min="6" max="7" width="9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  <col min="12" max="12" width="8.6328125" style="230" hidden="1" customWidth="1"/>
    <col min="13" max="13" width="7.90625" style="230" hidden="1" customWidth="1"/>
    <col min="14" max="15" width="8.0859375" style="230" hidden="1" customWidth="1"/>
    <col min="16" max="16" width="8.36328125" style="230" hidden="1" customWidth="1"/>
    <col min="17" max="17" width="10.18359375" style="0" hidden="1" customWidth="1"/>
    <col min="18" max="18" width="0" style="0" hidden="1" customWidth="1"/>
    <col min="20" max="20" width="11.18359375" style="0" bestFit="1" customWidth="1"/>
    <col min="21" max="21" width="12.6328125" style="0" bestFit="1" customWidth="1"/>
  </cols>
  <sheetData>
    <row r="1" ht="16.5">
      <c r="A1" s="27" t="s">
        <v>7</v>
      </c>
    </row>
    <row r="2" spans="1:11" ht="21" customHeight="1">
      <c r="A2" s="25" t="s">
        <v>154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4:11" ht="19.5" customHeight="1">
      <c r="D3" s="162"/>
      <c r="E3" s="162"/>
      <c r="F3" s="162"/>
      <c r="G3" s="162"/>
      <c r="J3" s="336" t="s">
        <v>8</v>
      </c>
      <c r="K3" s="336"/>
    </row>
    <row r="4" spans="1:16" s="28" customFormat="1" ht="16.5" customHeight="1">
      <c r="A4" s="337" t="s">
        <v>13</v>
      </c>
      <c r="B4" s="344" t="s">
        <v>108</v>
      </c>
      <c r="C4" s="345"/>
      <c r="D4" s="340" t="s">
        <v>156</v>
      </c>
      <c r="E4" s="340" t="s">
        <v>157</v>
      </c>
      <c r="F4" s="337" t="s">
        <v>158</v>
      </c>
      <c r="G4" s="352" t="s">
        <v>159</v>
      </c>
      <c r="H4" s="22" t="s">
        <v>9</v>
      </c>
      <c r="I4" s="22"/>
      <c r="J4" s="22"/>
      <c r="K4" s="22"/>
      <c r="L4" s="342" t="s">
        <v>142</v>
      </c>
      <c r="M4" s="342"/>
      <c r="N4" s="231"/>
      <c r="O4" s="231"/>
      <c r="P4" s="231"/>
    </row>
    <row r="5" spans="1:23" s="28" customFormat="1" ht="16.5" customHeight="1">
      <c r="A5" s="338"/>
      <c r="B5" s="346"/>
      <c r="C5" s="347"/>
      <c r="D5" s="340"/>
      <c r="E5" s="340"/>
      <c r="F5" s="338"/>
      <c r="G5" s="352"/>
      <c r="H5" s="337" t="s">
        <v>160</v>
      </c>
      <c r="I5" s="344" t="s">
        <v>161</v>
      </c>
      <c r="J5" s="345"/>
      <c r="K5" s="337" t="s">
        <v>162</v>
      </c>
      <c r="L5" s="342"/>
      <c r="M5" s="342"/>
      <c r="N5" s="231"/>
      <c r="O5" s="231"/>
      <c r="P5" s="231"/>
      <c r="U5" s="28">
        <v>12.09</v>
      </c>
      <c r="V5" s="28">
        <f>U5/11.7*100</f>
        <v>103.33333333333334</v>
      </c>
      <c r="W5" s="28">
        <f>U5/10.7*100</f>
        <v>112.99065420560748</v>
      </c>
    </row>
    <row r="6" spans="1:21" s="28" customFormat="1" ht="16.5">
      <c r="A6" s="338"/>
      <c r="B6" s="346"/>
      <c r="C6" s="347"/>
      <c r="D6" s="340"/>
      <c r="E6" s="340"/>
      <c r="F6" s="338"/>
      <c r="G6" s="352"/>
      <c r="H6" s="338"/>
      <c r="I6" s="346"/>
      <c r="J6" s="347"/>
      <c r="K6" s="338"/>
      <c r="L6" s="342"/>
      <c r="M6" s="342"/>
      <c r="N6" s="231"/>
      <c r="O6" s="231"/>
      <c r="P6" s="231"/>
      <c r="Q6" s="238"/>
      <c r="U6" s="149">
        <f>U7/12</f>
        <v>12697.782533333337</v>
      </c>
    </row>
    <row r="7" spans="1:21" s="28" customFormat="1" ht="16.5">
      <c r="A7" s="338"/>
      <c r="B7" s="346"/>
      <c r="C7" s="347"/>
      <c r="D7" s="340"/>
      <c r="E7" s="340"/>
      <c r="F7" s="338"/>
      <c r="G7" s="352"/>
      <c r="H7" s="338"/>
      <c r="I7" s="346"/>
      <c r="J7" s="347"/>
      <c r="K7" s="338"/>
      <c r="L7" s="342"/>
      <c r="M7" s="342"/>
      <c r="N7" s="343" t="s">
        <v>145</v>
      </c>
      <c r="O7" s="343" t="s">
        <v>146</v>
      </c>
      <c r="P7" s="343" t="s">
        <v>147</v>
      </c>
      <c r="Q7" s="341" t="s">
        <v>148</v>
      </c>
      <c r="U7" s="149">
        <f>$F$10*1.12</f>
        <v>152373.39040000003</v>
      </c>
    </row>
    <row r="8" spans="1:17" s="28" customFormat="1" ht="9.75" customHeight="1">
      <c r="A8" s="339"/>
      <c r="B8" s="348"/>
      <c r="C8" s="349"/>
      <c r="D8" s="340"/>
      <c r="E8" s="340"/>
      <c r="F8" s="339"/>
      <c r="G8" s="352"/>
      <c r="H8" s="339"/>
      <c r="I8" s="348"/>
      <c r="J8" s="349"/>
      <c r="K8" s="339"/>
      <c r="L8" s="342"/>
      <c r="M8" s="342"/>
      <c r="N8" s="343"/>
      <c r="O8" s="343"/>
      <c r="P8" s="343"/>
      <c r="Q8" s="341"/>
    </row>
    <row r="9" spans="1:21" s="28" customFormat="1" ht="16.5">
      <c r="A9" s="39" t="s">
        <v>10</v>
      </c>
      <c r="B9" s="350">
        <v>1</v>
      </c>
      <c r="C9" s="351"/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350">
        <v>7</v>
      </c>
      <c r="J9" s="351"/>
      <c r="K9" s="39">
        <v>8</v>
      </c>
      <c r="L9" s="227" t="s">
        <v>143</v>
      </c>
      <c r="M9" s="227" t="s">
        <v>144</v>
      </c>
      <c r="N9" s="231"/>
      <c r="O9" s="231"/>
      <c r="P9" s="231"/>
      <c r="Q9" s="238"/>
      <c r="S9" s="262"/>
      <c r="T9" s="149">
        <f>$F$10*1.1</f>
        <v>149652.43700000003</v>
      </c>
      <c r="U9" s="149">
        <f>$F$10*1.13</f>
        <v>153733.8671</v>
      </c>
    </row>
    <row r="10" spans="1:20" s="7" customFormat="1" ht="27.75" customHeight="1">
      <c r="A10" s="26" t="s">
        <v>25</v>
      </c>
      <c r="B10" s="43">
        <v>136200</v>
      </c>
      <c r="C10" s="43">
        <v>137400</v>
      </c>
      <c r="D10" s="148">
        <v>11592.76</v>
      </c>
      <c r="E10" s="149">
        <v>11675.09</v>
      </c>
      <c r="F10" s="149">
        <v>136047.67</v>
      </c>
      <c r="G10" s="149">
        <v>122499.25</v>
      </c>
      <c r="H10" s="48">
        <f>E10/D10*100</f>
        <v>100.71018463247752</v>
      </c>
      <c r="I10" s="48">
        <f>F10/B10*100</f>
        <v>99.8881571218796</v>
      </c>
      <c r="J10" s="48">
        <f>F10/C10*100</f>
        <v>99.01577147016013</v>
      </c>
      <c r="K10" s="48">
        <f>F10/G10*100</f>
        <v>111.06000240817802</v>
      </c>
      <c r="L10" s="228">
        <v>136047.66705000002</v>
      </c>
      <c r="M10" s="229">
        <v>111.06000000000003</v>
      </c>
      <c r="N10" s="233">
        <f>L10-F10</f>
        <v>-0.002949999994598329</v>
      </c>
      <c r="O10" s="233">
        <f>N10/2</f>
        <v>-0.0014749999972991645</v>
      </c>
      <c r="P10" s="233">
        <f>E10*1.0059</f>
        <v>11743.973031</v>
      </c>
      <c r="Q10" s="239">
        <f>E10*1.005</f>
        <v>11733.46545</v>
      </c>
      <c r="T10" s="308">
        <v>122685.94</v>
      </c>
    </row>
    <row r="11" spans="1:21" s="7" customFormat="1" ht="27.75" customHeight="1">
      <c r="A11" s="10" t="s">
        <v>26</v>
      </c>
      <c r="B11" s="44"/>
      <c r="C11" s="44"/>
      <c r="D11" s="236"/>
      <c r="E11" s="236"/>
      <c r="F11" s="236"/>
      <c r="G11" s="195"/>
      <c r="H11" s="237"/>
      <c r="I11" s="49"/>
      <c r="J11" s="160"/>
      <c r="K11" s="49"/>
      <c r="L11" s="232"/>
      <c r="M11" s="231"/>
      <c r="N11" s="233">
        <f>L10-F11</f>
        <v>136047.66705000002</v>
      </c>
      <c r="O11" s="233">
        <f>N11/2</f>
        <v>68023.83352500001</v>
      </c>
      <c r="P11" s="234"/>
      <c r="Q11" s="240">
        <f>E11*1.005</f>
        <v>0</v>
      </c>
      <c r="T11" s="308">
        <f>T10*1.11</f>
        <v>136181.3934</v>
      </c>
      <c r="U11" s="309">
        <f>T10*1.12</f>
        <v>137408.25280000002</v>
      </c>
    </row>
    <row r="12" spans="1:20" s="8" customFormat="1" ht="27.75" customHeight="1">
      <c r="A12" s="9" t="s">
        <v>0</v>
      </c>
      <c r="B12" s="46"/>
      <c r="C12" s="46"/>
      <c r="D12" s="151">
        <v>848.1959999999999</v>
      </c>
      <c r="E12" s="152">
        <v>853.8679999999999</v>
      </c>
      <c r="F12" s="152">
        <v>10245.08</v>
      </c>
      <c r="G12" s="152">
        <v>9726.65</v>
      </c>
      <c r="H12" s="160">
        <f aca="true" t="shared" si="0" ref="H12:H19">E12/D12*100</f>
        <v>100.66871336342072</v>
      </c>
      <c r="I12" s="160"/>
      <c r="J12" s="160"/>
      <c r="K12" s="160">
        <f aca="true" t="shared" si="1" ref="K12:K19">F12/G12*100</f>
        <v>105.32999542494075</v>
      </c>
      <c r="L12" s="235"/>
      <c r="M12" s="235"/>
      <c r="N12" s="235"/>
      <c r="O12" s="235"/>
      <c r="P12" s="235"/>
      <c r="Q12" s="241"/>
      <c r="T12" s="8">
        <f>F10/12</f>
        <v>11337.305833333334</v>
      </c>
    </row>
    <row r="13" spans="1:16" s="8" customFormat="1" ht="27.75" customHeight="1">
      <c r="A13" s="9" t="s">
        <v>1</v>
      </c>
      <c r="B13" s="46"/>
      <c r="C13" s="46"/>
      <c r="D13" s="153">
        <v>10477.545</v>
      </c>
      <c r="E13" s="153">
        <v>10552.146</v>
      </c>
      <c r="F13" s="153">
        <v>122789.20000000001</v>
      </c>
      <c r="G13" s="153">
        <v>109937</v>
      </c>
      <c r="H13" s="160">
        <f t="shared" si="0"/>
        <v>100.71200839509638</v>
      </c>
      <c r="I13" s="160"/>
      <c r="J13" s="160"/>
      <c r="K13" s="160">
        <f t="shared" si="1"/>
        <v>111.69051365782221</v>
      </c>
      <c r="L13" s="235"/>
      <c r="M13" s="235"/>
      <c r="N13" s="235"/>
      <c r="O13" s="235"/>
      <c r="P13" s="235"/>
    </row>
    <row r="14" spans="1:16" s="8" customFormat="1" ht="27.75" customHeight="1">
      <c r="A14" s="9" t="s">
        <v>2</v>
      </c>
      <c r="B14" s="46"/>
      <c r="C14" s="46"/>
      <c r="D14" s="151">
        <v>267.019</v>
      </c>
      <c r="E14" s="152">
        <v>269.076</v>
      </c>
      <c r="F14" s="152">
        <v>3013.39</v>
      </c>
      <c r="G14" s="152">
        <v>2835.6000000000004</v>
      </c>
      <c r="H14" s="160">
        <f t="shared" si="0"/>
        <v>100.77035716559497</v>
      </c>
      <c r="I14" s="160"/>
      <c r="J14" s="160"/>
      <c r="K14" s="160">
        <f t="shared" si="1"/>
        <v>106.26992523628154</v>
      </c>
      <c r="L14" s="235"/>
      <c r="M14" s="235"/>
      <c r="N14" s="235"/>
      <c r="O14" s="235"/>
      <c r="P14" s="235"/>
    </row>
    <row r="15" spans="1:11" ht="27.75" customHeight="1">
      <c r="A15" s="4" t="s">
        <v>27</v>
      </c>
      <c r="B15" s="44"/>
      <c r="C15" s="44"/>
      <c r="D15" s="150"/>
      <c r="E15" s="150"/>
      <c r="F15" s="150">
        <f>F16+F17+F18+F19</f>
        <v>136047.67</v>
      </c>
      <c r="G15" s="195"/>
      <c r="H15" s="49"/>
      <c r="I15" s="160"/>
      <c r="J15" s="160"/>
      <c r="K15" s="160"/>
    </row>
    <row r="16" spans="1:19" ht="27.75" customHeight="1">
      <c r="A16" s="3" t="s">
        <v>3</v>
      </c>
      <c r="B16" s="45"/>
      <c r="C16" s="45"/>
      <c r="D16" s="154">
        <v>8966.919000000002</v>
      </c>
      <c r="E16" s="154">
        <v>9028.629</v>
      </c>
      <c r="F16" s="154">
        <v>105317.864</v>
      </c>
      <c r="G16" s="159">
        <v>94886.49</v>
      </c>
      <c r="H16" s="160">
        <f t="shared" si="0"/>
        <v>100.68819624667067</v>
      </c>
      <c r="I16" s="160"/>
      <c r="J16" s="160"/>
      <c r="K16" s="160">
        <f t="shared" si="1"/>
        <v>110.99352921580301</v>
      </c>
      <c r="S16" s="268">
        <f>F16/F15*100</f>
        <v>77.41247167261298</v>
      </c>
    </row>
    <row r="17" spans="1:19" ht="27.75" customHeight="1">
      <c r="A17" s="3" t="s">
        <v>4</v>
      </c>
      <c r="B17" s="45"/>
      <c r="C17" s="45"/>
      <c r="D17" s="154">
        <v>983.04</v>
      </c>
      <c r="E17" s="154">
        <v>990.72</v>
      </c>
      <c r="F17" s="154">
        <v>11474.94</v>
      </c>
      <c r="G17" s="159">
        <v>10429.98</v>
      </c>
      <c r="H17" s="160">
        <f t="shared" si="0"/>
        <v>100.78125</v>
      </c>
      <c r="I17" s="160"/>
      <c r="J17" s="160"/>
      <c r="K17" s="160">
        <f t="shared" si="1"/>
        <v>110.0188111578354</v>
      </c>
      <c r="S17" s="268">
        <f>F17/F15*100</f>
        <v>8.434499466253262</v>
      </c>
    </row>
    <row r="18" spans="1:19" ht="27.75" customHeight="1">
      <c r="A18" s="6" t="s">
        <v>6</v>
      </c>
      <c r="B18" s="45"/>
      <c r="C18" s="45"/>
      <c r="D18" s="154">
        <v>6.481</v>
      </c>
      <c r="E18" s="154">
        <v>6.521</v>
      </c>
      <c r="F18" s="154">
        <v>78.316</v>
      </c>
      <c r="G18" s="159">
        <v>73.08</v>
      </c>
      <c r="H18" s="160">
        <f t="shared" si="0"/>
        <v>100.6171887054467</v>
      </c>
      <c r="I18" s="160"/>
      <c r="J18" s="160"/>
      <c r="K18" s="160">
        <f t="shared" si="1"/>
        <v>107.16475095785441</v>
      </c>
      <c r="S18" s="163">
        <f>F18/F15*100</f>
        <v>0.057565116697698676</v>
      </c>
    </row>
    <row r="19" spans="1:19" ht="27.75" customHeight="1">
      <c r="A19" s="5" t="s">
        <v>5</v>
      </c>
      <c r="B19" s="47"/>
      <c r="C19" s="47"/>
      <c r="D19" s="155">
        <v>1636.32</v>
      </c>
      <c r="E19" s="155">
        <v>1649.22</v>
      </c>
      <c r="F19" s="155">
        <v>19176.55</v>
      </c>
      <c r="G19" s="155">
        <v>17109.7</v>
      </c>
      <c r="H19" s="161">
        <f t="shared" si="0"/>
        <v>100.78835435611617</v>
      </c>
      <c r="I19" s="161"/>
      <c r="J19" s="161"/>
      <c r="K19" s="161">
        <f t="shared" si="1"/>
        <v>112.0799897134374</v>
      </c>
      <c r="S19" s="268">
        <f>F19/F15*100</f>
        <v>14.09546374443605</v>
      </c>
    </row>
    <row r="20" spans="1:10" ht="16.5">
      <c r="A20" s="73" t="s">
        <v>173</v>
      </c>
      <c r="H20" s="194"/>
      <c r="I20" s="28"/>
      <c r="J20" s="28"/>
    </row>
    <row r="21" spans="6:8" ht="16.5" hidden="1">
      <c r="F21" s="163">
        <f>F16/$F$10*100</f>
        <v>77.41247167261298</v>
      </c>
      <c r="H21" s="193" t="e">
        <f>E21/D21*100</f>
        <v>#DIV/0!</v>
      </c>
    </row>
    <row r="22" spans="6:8" ht="16.5" hidden="1">
      <c r="F22" s="163">
        <f>F17/$F$10*100</f>
        <v>8.434499466253262</v>
      </c>
      <c r="H22" s="48" t="e">
        <f>E22/D22*100</f>
        <v>#DIV/0!</v>
      </c>
    </row>
    <row r="23" spans="6:8" ht="16.5" hidden="1">
      <c r="F23" s="163">
        <f>F18/$F$10*100</f>
        <v>0.057565116697698676</v>
      </c>
      <c r="H23" s="48" t="e">
        <f>E23/D23*100</f>
        <v>#DIV/0!</v>
      </c>
    </row>
    <row r="24" spans="6:8" ht="16.5" hidden="1">
      <c r="F24" s="163">
        <f>F19/$F$10*100</f>
        <v>14.09546374443605</v>
      </c>
      <c r="H24" s="48" t="e">
        <f>E24/D24*100</f>
        <v>#DIV/0!</v>
      </c>
    </row>
    <row r="25" spans="1:6" ht="16.5">
      <c r="A25" s="73" t="s">
        <v>174</v>
      </c>
      <c r="F25" s="163"/>
    </row>
    <row r="26" ht="16.5">
      <c r="F26" s="163"/>
    </row>
    <row r="27" ht="16.5">
      <c r="F27" s="163"/>
    </row>
    <row r="28" ht="16.5">
      <c r="F28" s="163"/>
    </row>
  </sheetData>
  <sheetProtection/>
  <mergeCells count="17">
    <mergeCell ref="I9:J9"/>
    <mergeCell ref="B9:C9"/>
    <mergeCell ref="E4:E8"/>
    <mergeCell ref="P7:P8"/>
    <mergeCell ref="O7:O8"/>
    <mergeCell ref="A4:A8"/>
    <mergeCell ref="G4:G8"/>
    <mergeCell ref="H5:H8"/>
    <mergeCell ref="B4:C8"/>
    <mergeCell ref="F4:F8"/>
    <mergeCell ref="J3:K3"/>
    <mergeCell ref="K5:K8"/>
    <mergeCell ref="D4:D8"/>
    <mergeCell ref="Q7:Q8"/>
    <mergeCell ref="L4:M8"/>
    <mergeCell ref="N7:N8"/>
    <mergeCell ref="I5:J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9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C8" sqref="C8"/>
    </sheetView>
  </sheetViews>
  <sheetFormatPr defaultColWidth="8.72265625" defaultRowHeight="16.5"/>
  <cols>
    <col min="1" max="1" width="34.0859375" style="51" customWidth="1"/>
    <col min="2" max="2" width="6.0859375" style="52" bestFit="1" customWidth="1"/>
    <col min="3" max="4" width="5.90625" style="51" bestFit="1" customWidth="1"/>
    <col min="5" max="5" width="6.90625" style="51" customWidth="1"/>
    <col min="6" max="6" width="8.6328125" style="51" customWidth="1"/>
    <col min="7" max="7" width="6.8125" style="51" customWidth="1"/>
    <col min="8" max="8" width="8.36328125" style="51" customWidth="1"/>
    <col min="9" max="9" width="7.8125" style="51" customWidth="1"/>
    <col min="10" max="10" width="8.36328125" style="51" customWidth="1"/>
    <col min="11" max="11" width="6.453125" style="51" customWidth="1"/>
    <col min="12" max="12" width="6.453125" style="51" bestFit="1" customWidth="1"/>
    <col min="13" max="13" width="4.18359375" style="51" hidden="1" customWidth="1"/>
    <col min="14" max="14" width="5.8125" style="51" hidden="1" customWidth="1"/>
    <col min="15" max="15" width="6.36328125" style="51" customWidth="1"/>
    <col min="16" max="16" width="6.453125" style="51" customWidth="1"/>
    <col min="17" max="17" width="10.18359375" style="51" hidden="1" customWidth="1"/>
    <col min="18" max="18" width="9.18359375" style="51" hidden="1" customWidth="1"/>
    <col min="19" max="19" width="9.18359375" style="203" hidden="1" customWidth="1"/>
    <col min="20" max="20" width="10.18359375" style="203" hidden="1" customWidth="1"/>
    <col min="21" max="21" width="11.6328125" style="203" hidden="1" customWidth="1"/>
    <col min="22" max="22" width="11.18359375" style="203" hidden="1" customWidth="1"/>
    <col min="23" max="23" width="9.18359375" style="203" hidden="1" customWidth="1"/>
    <col min="24" max="24" width="9.18359375" style="60" bestFit="1" customWidth="1"/>
    <col min="25" max="25" width="8.8125" style="60" bestFit="1" customWidth="1"/>
    <col min="26" max="26" width="12.6328125" style="60" bestFit="1" customWidth="1"/>
    <col min="27" max="27" width="10.18359375" style="60" bestFit="1" customWidth="1"/>
    <col min="28" max="29" width="8.90625" style="60" customWidth="1"/>
    <col min="30" max="16384" width="8.90625" style="51" customWidth="1"/>
  </cols>
  <sheetData>
    <row r="1" spans="1:6" ht="16.5">
      <c r="A1" s="50" t="s">
        <v>7</v>
      </c>
      <c r="B1" s="54"/>
      <c r="C1" s="50"/>
      <c r="D1" s="50"/>
      <c r="E1" s="50"/>
      <c r="F1" s="50"/>
    </row>
    <row r="2" spans="1:16" ht="18.75" customHeight="1">
      <c r="A2" s="363" t="s">
        <v>155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ht="16.5">
      <c r="J3" s="81"/>
    </row>
    <row r="4" spans="1:29" s="63" customFormat="1" ht="30" customHeight="1">
      <c r="A4" s="364" t="s">
        <v>13</v>
      </c>
      <c r="B4" s="364" t="s">
        <v>33</v>
      </c>
      <c r="C4" s="367" t="s">
        <v>108</v>
      </c>
      <c r="D4" s="368"/>
      <c r="E4" s="357" t="s">
        <v>163</v>
      </c>
      <c r="F4" s="357"/>
      <c r="G4" s="357" t="s">
        <v>164</v>
      </c>
      <c r="H4" s="357"/>
      <c r="I4" s="357" t="s">
        <v>142</v>
      </c>
      <c r="J4" s="357"/>
      <c r="K4" s="358" t="s">
        <v>9</v>
      </c>
      <c r="L4" s="359"/>
      <c r="M4" s="359"/>
      <c r="N4" s="359"/>
      <c r="O4" s="359"/>
      <c r="P4" s="360"/>
      <c r="S4" s="204"/>
      <c r="T4" s="204"/>
      <c r="U4" s="204"/>
      <c r="V4" s="204"/>
      <c r="W4" s="204"/>
      <c r="X4" s="197"/>
      <c r="Y4" s="197"/>
      <c r="Z4" s="197"/>
      <c r="AA4" s="197"/>
      <c r="AB4" s="197"/>
      <c r="AC4" s="197"/>
    </row>
    <row r="5" spans="1:29" s="63" customFormat="1" ht="36" customHeight="1">
      <c r="A5" s="365"/>
      <c r="B5" s="365"/>
      <c r="C5" s="369"/>
      <c r="D5" s="370"/>
      <c r="E5" s="361" t="s">
        <v>53</v>
      </c>
      <c r="F5" s="361" t="s">
        <v>59</v>
      </c>
      <c r="G5" s="361" t="s">
        <v>53</v>
      </c>
      <c r="H5" s="361" t="s">
        <v>59</v>
      </c>
      <c r="I5" s="361" t="s">
        <v>53</v>
      </c>
      <c r="J5" s="361" t="s">
        <v>59</v>
      </c>
      <c r="K5" s="355" t="s">
        <v>165</v>
      </c>
      <c r="L5" s="356"/>
      <c r="M5" s="355" t="s">
        <v>86</v>
      </c>
      <c r="N5" s="356"/>
      <c r="O5" s="355" t="s">
        <v>166</v>
      </c>
      <c r="P5" s="356"/>
      <c r="S5" s="204"/>
      <c r="T5" s="204"/>
      <c r="U5" s="204"/>
      <c r="V5" s="204"/>
      <c r="W5" s="205"/>
      <c r="X5" s="198" t="s">
        <v>150</v>
      </c>
      <c r="Y5" s="198" t="s">
        <v>149</v>
      </c>
      <c r="Z5" s="197">
        <v>2015</v>
      </c>
      <c r="AA5" s="197"/>
      <c r="AB5" s="197"/>
      <c r="AC5" s="197"/>
    </row>
    <row r="6" spans="1:29" s="53" customFormat="1" ht="16.5">
      <c r="A6" s="366"/>
      <c r="B6" s="366"/>
      <c r="C6" s="371"/>
      <c r="D6" s="372"/>
      <c r="E6" s="362"/>
      <c r="F6" s="362"/>
      <c r="G6" s="362"/>
      <c r="H6" s="362"/>
      <c r="I6" s="362"/>
      <c r="J6" s="362"/>
      <c r="K6" s="170" t="s">
        <v>53</v>
      </c>
      <c r="L6" s="170" t="s">
        <v>59</v>
      </c>
      <c r="M6" s="170" t="s">
        <v>53</v>
      </c>
      <c r="N6" s="170" t="s">
        <v>59</v>
      </c>
      <c r="O6" s="170" t="s">
        <v>53</v>
      </c>
      <c r="P6" s="170" t="s">
        <v>59</v>
      </c>
      <c r="S6" s="206"/>
      <c r="T6" s="206"/>
      <c r="U6" s="206"/>
      <c r="V6" s="206"/>
      <c r="W6" s="207"/>
      <c r="X6" s="199"/>
      <c r="Y6" s="199"/>
      <c r="Z6" s="199"/>
      <c r="AA6" s="199"/>
      <c r="AB6" s="199"/>
      <c r="AC6" s="199"/>
    </row>
    <row r="7" spans="1:29" s="53" customFormat="1" ht="16.5">
      <c r="A7" s="171" t="s">
        <v>10</v>
      </c>
      <c r="B7" s="171" t="s">
        <v>11</v>
      </c>
      <c r="C7" s="353">
        <v>1</v>
      </c>
      <c r="D7" s="354"/>
      <c r="E7" s="353">
        <v>2</v>
      </c>
      <c r="F7" s="354"/>
      <c r="G7" s="353">
        <v>3</v>
      </c>
      <c r="H7" s="354"/>
      <c r="I7" s="353">
        <v>4</v>
      </c>
      <c r="J7" s="354"/>
      <c r="K7" s="353">
        <v>4</v>
      </c>
      <c r="L7" s="354"/>
      <c r="M7" s="353">
        <v>8</v>
      </c>
      <c r="N7" s="354"/>
      <c r="O7" s="353">
        <v>5</v>
      </c>
      <c r="P7" s="354"/>
      <c r="S7" s="207" t="s">
        <v>138</v>
      </c>
      <c r="T7" s="207"/>
      <c r="U7" s="207"/>
      <c r="V7" s="207"/>
      <c r="W7" s="207"/>
      <c r="X7" s="199"/>
      <c r="Y7" s="199"/>
      <c r="Z7" s="199"/>
      <c r="AA7" s="199"/>
      <c r="AB7" s="199"/>
      <c r="AC7" s="199"/>
    </row>
    <row r="8" spans="1:16" ht="21" customHeight="1">
      <c r="A8" s="115" t="s">
        <v>60</v>
      </c>
      <c r="B8" s="116"/>
      <c r="C8" s="117"/>
      <c r="D8" s="118"/>
      <c r="E8" s="59"/>
      <c r="F8" s="86"/>
      <c r="G8" s="86"/>
      <c r="H8" s="86"/>
      <c r="I8" s="82"/>
      <c r="J8" s="83"/>
      <c r="K8" s="58"/>
      <c r="L8" s="58"/>
      <c r="M8" s="58"/>
      <c r="N8" s="58"/>
      <c r="O8" s="58"/>
      <c r="P8" s="58"/>
    </row>
    <row r="9" spans="1:27" ht="21" customHeight="1">
      <c r="A9" s="119" t="s">
        <v>83</v>
      </c>
      <c r="B9" s="120" t="s">
        <v>70</v>
      </c>
      <c r="C9" s="87">
        <v>15800</v>
      </c>
      <c r="D9" s="87">
        <v>16200</v>
      </c>
      <c r="E9" s="87"/>
      <c r="F9" s="97">
        <f>1346470/1000</f>
        <v>1346.47</v>
      </c>
      <c r="G9" s="88"/>
      <c r="H9" s="88">
        <f>1349550/1000</f>
        <v>1349.55</v>
      </c>
      <c r="I9" s="88"/>
      <c r="J9" s="88">
        <f>15246619/1000</f>
        <v>15246.619</v>
      </c>
      <c r="K9" s="181"/>
      <c r="L9" s="246">
        <f>H9/F9*100</f>
        <v>100.22874627730288</v>
      </c>
      <c r="M9" s="181"/>
      <c r="N9" s="181"/>
      <c r="O9" s="181"/>
      <c r="P9" s="181">
        <v>107.98946525711406</v>
      </c>
      <c r="Q9" s="189">
        <f>J9*1000</f>
        <v>15246619</v>
      </c>
      <c r="R9" s="188"/>
      <c r="S9" s="88">
        <f>J9/P9*100</f>
        <v>14118.617</v>
      </c>
      <c r="T9" s="208">
        <f>J9/S9*100</f>
        <v>107.98946525711406</v>
      </c>
      <c r="U9" s="244">
        <f>H9*1000</f>
        <v>1349550</v>
      </c>
      <c r="V9" s="217">
        <f>J9/P9*100</f>
        <v>14118.617</v>
      </c>
      <c r="W9" s="209">
        <f>J9/C9*100</f>
        <v>96.49758860759493</v>
      </c>
      <c r="X9" s="251"/>
      <c r="Y9" s="256">
        <f>J9*1000</f>
        <v>15246619</v>
      </c>
      <c r="Z9" s="200">
        <f>J9/P9*100</f>
        <v>14118.617</v>
      </c>
      <c r="AA9" s="265">
        <f>J9/Z9*100</f>
        <v>107.98946525711406</v>
      </c>
    </row>
    <row r="10" spans="1:27" s="60" customFormat="1" ht="21" customHeight="1">
      <c r="A10" s="121" t="s">
        <v>61</v>
      </c>
      <c r="B10" s="122" t="s">
        <v>70</v>
      </c>
      <c r="C10" s="89"/>
      <c r="D10" s="89"/>
      <c r="E10" s="89"/>
      <c r="F10" s="90">
        <f>211062/1000</f>
        <v>211.062</v>
      </c>
      <c r="G10" s="90"/>
      <c r="H10" s="90">
        <f>210466/1000</f>
        <v>210.466</v>
      </c>
      <c r="I10" s="90"/>
      <c r="J10" s="90">
        <f>2519572/1000</f>
        <v>2519.572</v>
      </c>
      <c r="K10" s="182"/>
      <c r="L10" s="182">
        <f>H10/F10*100</f>
        <v>99.71761851967668</v>
      </c>
      <c r="M10" s="182"/>
      <c r="N10" s="182"/>
      <c r="O10" s="182"/>
      <c r="P10" s="182">
        <v>106.3886242796436</v>
      </c>
      <c r="S10" s="218">
        <f>S9-S13</f>
        <v>2368.271999999999</v>
      </c>
      <c r="T10" s="208">
        <f>J10/S10*100</f>
        <v>106.3886242796436</v>
      </c>
      <c r="U10" s="203"/>
      <c r="V10" s="245">
        <f>V9-V13</f>
        <v>2368.271999999999</v>
      </c>
      <c r="W10" s="203"/>
      <c r="X10" s="202"/>
      <c r="Y10" s="202"/>
      <c r="Z10" s="200">
        <f>Z9-Z13</f>
        <v>2368.271999999999</v>
      </c>
      <c r="AA10" s="265">
        <f>J10/Z10*100</f>
        <v>106.3886242796436</v>
      </c>
    </row>
    <row r="11" spans="1:25" ht="21" customHeight="1" hidden="1">
      <c r="A11" s="123" t="s">
        <v>63</v>
      </c>
      <c r="B11" s="124" t="s">
        <v>70</v>
      </c>
      <c r="C11" s="91"/>
      <c r="D11" s="91"/>
      <c r="E11" s="91"/>
      <c r="F11" s="92"/>
      <c r="G11" s="92"/>
      <c r="H11" s="92"/>
      <c r="I11" s="92"/>
      <c r="J11" s="92"/>
      <c r="K11" s="182"/>
      <c r="L11" s="182" t="e">
        <f>H11/F11*100</f>
        <v>#DIV/0!</v>
      </c>
      <c r="M11" s="182"/>
      <c r="N11" s="182"/>
      <c r="O11" s="182"/>
      <c r="P11" s="182"/>
      <c r="T11" s="208"/>
      <c r="X11" s="202"/>
      <c r="Y11" s="202"/>
    </row>
    <row r="12" spans="1:25" ht="21" customHeight="1" hidden="1">
      <c r="A12" s="123" t="s">
        <v>62</v>
      </c>
      <c r="B12" s="124" t="s">
        <v>70</v>
      </c>
      <c r="C12" s="91"/>
      <c r="D12" s="91"/>
      <c r="E12" s="91"/>
      <c r="F12" s="92"/>
      <c r="G12" s="92"/>
      <c r="H12" s="92"/>
      <c r="I12" s="92"/>
      <c r="J12" s="92"/>
      <c r="K12" s="182"/>
      <c r="L12" s="182" t="e">
        <f>H12/F12*100</f>
        <v>#DIV/0!</v>
      </c>
      <c r="M12" s="182"/>
      <c r="N12" s="182"/>
      <c r="O12" s="182"/>
      <c r="P12" s="182"/>
      <c r="T12" s="208"/>
      <c r="X12" s="202"/>
      <c r="Y12" s="202"/>
    </row>
    <row r="13" spans="1:27" ht="21" customHeight="1">
      <c r="A13" s="123" t="s">
        <v>54</v>
      </c>
      <c r="B13" s="124" t="s">
        <v>70</v>
      </c>
      <c r="C13" s="91"/>
      <c r="D13" s="91"/>
      <c r="E13" s="91"/>
      <c r="F13" s="263">
        <f>1135408/1000</f>
        <v>1135.408</v>
      </c>
      <c r="G13" s="92"/>
      <c r="H13" s="92">
        <f>1139084/1000</f>
        <v>1139.084</v>
      </c>
      <c r="I13" s="92"/>
      <c r="J13" s="92">
        <f>12727047/1000</f>
        <v>12727.047</v>
      </c>
      <c r="K13" s="182"/>
      <c r="L13" s="182">
        <f>H13/F13*100</f>
        <v>100.32376026943619</v>
      </c>
      <c r="M13" s="182"/>
      <c r="N13" s="182"/>
      <c r="O13" s="182"/>
      <c r="P13" s="182">
        <v>108.31211338901112</v>
      </c>
      <c r="S13" s="217">
        <f>J13/P13*100</f>
        <v>11750.345000000001</v>
      </c>
      <c r="T13" s="208">
        <f>J13/S13*100</f>
        <v>108.31211338901112</v>
      </c>
      <c r="V13" s="217">
        <f>J13/P13*100</f>
        <v>11750.345000000001</v>
      </c>
      <c r="X13" s="202"/>
      <c r="Y13" s="202"/>
      <c r="Z13" s="60">
        <f>J13/P13*100</f>
        <v>11750.345000000001</v>
      </c>
      <c r="AA13" s="264">
        <f>J13/Z13*100</f>
        <v>108.31211338901112</v>
      </c>
    </row>
    <row r="14" spans="1:25" ht="21" customHeight="1">
      <c r="A14" s="119" t="s">
        <v>84</v>
      </c>
      <c r="B14" s="125"/>
      <c r="C14" s="91"/>
      <c r="D14" s="91"/>
      <c r="E14" s="91"/>
      <c r="F14" s="156"/>
      <c r="G14" s="156"/>
      <c r="H14" s="156"/>
      <c r="I14" s="156"/>
      <c r="J14" s="156"/>
      <c r="K14" s="182"/>
      <c r="L14" s="182"/>
      <c r="M14" s="182"/>
      <c r="N14" s="182"/>
      <c r="O14" s="182"/>
      <c r="P14" s="182"/>
      <c r="T14" s="219"/>
      <c r="U14" s="203" t="s">
        <v>149</v>
      </c>
      <c r="X14" s="202"/>
      <c r="Y14" s="202"/>
    </row>
    <row r="15" spans="1:29" s="276" customFormat="1" ht="24" customHeight="1">
      <c r="A15" s="269" t="s">
        <v>93</v>
      </c>
      <c r="B15" s="270" t="s">
        <v>55</v>
      </c>
      <c r="C15" s="271"/>
      <c r="D15" s="271"/>
      <c r="E15" s="272"/>
      <c r="F15" s="273">
        <v>284754</v>
      </c>
      <c r="G15" s="273"/>
      <c r="H15" s="273">
        <v>300415.47</v>
      </c>
      <c r="I15" s="273"/>
      <c r="J15" s="273">
        <v>3143702.4699999997</v>
      </c>
      <c r="K15" s="274"/>
      <c r="L15" s="274">
        <f aca="true" t="shared" si="0" ref="L15:L35">H15/F15*100</f>
        <v>105.5</v>
      </c>
      <c r="M15" s="274"/>
      <c r="N15" s="274"/>
      <c r="O15" s="274"/>
      <c r="P15" s="274">
        <v>119.60485837999974</v>
      </c>
      <c r="Q15" s="275">
        <f aca="true" t="shared" si="1" ref="Q15:Q35">J15/$Q$9*100</f>
        <v>20.619013762985748</v>
      </c>
      <c r="S15" s="277"/>
      <c r="T15" s="278"/>
      <c r="U15" s="279">
        <f aca="true" t="shared" si="2" ref="U15:U35">H15/$U$9*100</f>
        <v>22.26041791708347</v>
      </c>
      <c r="V15" s="277"/>
      <c r="W15" s="280"/>
      <c r="X15" s="281">
        <v>116.23575374569988</v>
      </c>
      <c r="Y15" s="282">
        <f aca="true" t="shared" si="3" ref="Y15:Y35">J15/$Y$9*100</f>
        <v>20.619013762985748</v>
      </c>
      <c r="Z15" s="283"/>
      <c r="AA15" s="284"/>
      <c r="AB15" s="284"/>
      <c r="AC15" s="284"/>
    </row>
    <row r="16" spans="1:26" s="305" customFormat="1" ht="24" customHeight="1">
      <c r="A16" s="290" t="s">
        <v>94</v>
      </c>
      <c r="B16" s="291" t="s">
        <v>55</v>
      </c>
      <c r="C16" s="292"/>
      <c r="D16" s="292"/>
      <c r="E16" s="293"/>
      <c r="F16" s="294">
        <v>148224</v>
      </c>
      <c r="G16" s="294"/>
      <c r="H16" s="294">
        <v>155486.97600000002</v>
      </c>
      <c r="I16" s="294"/>
      <c r="J16" s="294">
        <v>1729144.976</v>
      </c>
      <c r="K16" s="295"/>
      <c r="L16" s="295">
        <f t="shared" si="0"/>
        <v>104.90000000000002</v>
      </c>
      <c r="M16" s="295"/>
      <c r="N16" s="295"/>
      <c r="O16" s="295"/>
      <c r="P16" s="295">
        <v>95.90440845973463</v>
      </c>
      <c r="Q16" s="296">
        <f t="shared" si="1"/>
        <v>11.341169973487236</v>
      </c>
      <c r="R16" s="297">
        <f>100-P16</f>
        <v>4.095591540265374</v>
      </c>
      <c r="S16" s="298"/>
      <c r="T16" s="299"/>
      <c r="U16" s="300">
        <f t="shared" si="2"/>
        <v>11.521394242525288</v>
      </c>
      <c r="V16" s="301"/>
      <c r="W16" s="302"/>
      <c r="X16" s="303">
        <v>107.56337643727183</v>
      </c>
      <c r="Y16" s="304">
        <f t="shared" si="3"/>
        <v>11.341169973487236</v>
      </c>
      <c r="Z16" s="296"/>
    </row>
    <row r="17" spans="1:26" ht="24" customHeight="1">
      <c r="A17" s="172" t="s">
        <v>95</v>
      </c>
      <c r="B17" s="74" t="s">
        <v>55</v>
      </c>
      <c r="C17" s="91"/>
      <c r="D17" s="91"/>
      <c r="E17" s="64"/>
      <c r="F17" s="80">
        <v>104277</v>
      </c>
      <c r="G17" s="80"/>
      <c r="H17" s="80">
        <v>111784.944</v>
      </c>
      <c r="I17" s="80"/>
      <c r="J17" s="80">
        <v>1174861.944</v>
      </c>
      <c r="K17" s="182"/>
      <c r="L17" s="182">
        <f t="shared" si="0"/>
        <v>107.2</v>
      </c>
      <c r="M17" s="182"/>
      <c r="N17" s="182"/>
      <c r="O17" s="182"/>
      <c r="P17" s="182">
        <v>100.4364965001248</v>
      </c>
      <c r="Q17" s="187">
        <f t="shared" si="1"/>
        <v>7.705721143815556</v>
      </c>
      <c r="R17" s="190">
        <f>100-P17</f>
        <v>-0.4364965001248038</v>
      </c>
      <c r="S17" s="210"/>
      <c r="T17" s="210"/>
      <c r="U17" s="243">
        <f t="shared" si="2"/>
        <v>8.28312726464377</v>
      </c>
      <c r="V17" s="210"/>
      <c r="W17" s="208"/>
      <c r="X17" s="252">
        <v>119.67959094721338</v>
      </c>
      <c r="Y17" s="257">
        <f t="shared" si="3"/>
        <v>7.705721143815556</v>
      </c>
      <c r="Z17" s="201"/>
    </row>
    <row r="18" spans="1:25" ht="24" customHeight="1">
      <c r="A18" s="172" t="s">
        <v>92</v>
      </c>
      <c r="B18" s="74" t="s">
        <v>55</v>
      </c>
      <c r="C18" s="91"/>
      <c r="D18" s="91"/>
      <c r="E18" s="65"/>
      <c r="F18" s="80">
        <v>100956</v>
      </c>
      <c r="G18" s="80"/>
      <c r="H18" s="80">
        <v>100047.39600000001</v>
      </c>
      <c r="I18" s="80"/>
      <c r="J18" s="80">
        <v>1163355.396</v>
      </c>
      <c r="K18" s="182"/>
      <c r="L18" s="182">
        <f t="shared" si="0"/>
        <v>99.10000000000001</v>
      </c>
      <c r="M18" s="182"/>
      <c r="N18" s="182"/>
      <c r="O18" s="182"/>
      <c r="P18" s="182">
        <v>106.20787524067494</v>
      </c>
      <c r="Q18" s="187">
        <f t="shared" si="1"/>
        <v>7.6302516380844825</v>
      </c>
      <c r="S18" s="210"/>
      <c r="T18" s="210"/>
      <c r="U18" s="243">
        <f t="shared" si="2"/>
        <v>7.413389352006225</v>
      </c>
      <c r="V18" s="210"/>
      <c r="W18" s="208"/>
      <c r="X18" s="252">
        <v>94.71874709545497</v>
      </c>
      <c r="Y18" s="257">
        <f t="shared" si="3"/>
        <v>7.6302516380844825</v>
      </c>
    </row>
    <row r="19" spans="1:26" ht="24" customHeight="1">
      <c r="A19" s="173" t="s">
        <v>105</v>
      </c>
      <c r="B19" s="74" t="s">
        <v>55</v>
      </c>
      <c r="C19" s="91"/>
      <c r="D19" s="91"/>
      <c r="E19" s="65"/>
      <c r="F19" s="80">
        <v>90647</v>
      </c>
      <c r="G19" s="80"/>
      <c r="H19" s="80">
        <v>90828.29400000001</v>
      </c>
      <c r="I19" s="80"/>
      <c r="J19" s="80">
        <v>1014583.294</v>
      </c>
      <c r="K19" s="182"/>
      <c r="L19" s="182">
        <f t="shared" si="0"/>
        <v>100.2</v>
      </c>
      <c r="M19" s="182"/>
      <c r="N19" s="182"/>
      <c r="O19" s="182"/>
      <c r="P19" s="182">
        <v>103.25286417943865</v>
      </c>
      <c r="Q19" s="187">
        <f t="shared" si="1"/>
        <v>6.654480537619521</v>
      </c>
      <c r="S19" s="210"/>
      <c r="T19" s="210"/>
      <c r="U19" s="243">
        <f t="shared" si="2"/>
        <v>6.730265199510948</v>
      </c>
      <c r="V19" s="210"/>
      <c r="W19" s="208"/>
      <c r="X19" s="252">
        <v>99.95699686927757</v>
      </c>
      <c r="Y19" s="257">
        <f t="shared" si="3"/>
        <v>6.654480537619521</v>
      </c>
      <c r="Z19" s="201"/>
    </row>
    <row r="20" spans="1:29" s="276" customFormat="1" ht="24" customHeight="1">
      <c r="A20" s="285" t="s">
        <v>106</v>
      </c>
      <c r="B20" s="270" t="s">
        <v>55</v>
      </c>
      <c r="C20" s="271"/>
      <c r="D20" s="271"/>
      <c r="E20" s="272"/>
      <c r="F20" s="273">
        <v>68033</v>
      </c>
      <c r="G20" s="273"/>
      <c r="H20" s="273">
        <v>68509.231</v>
      </c>
      <c r="I20" s="273"/>
      <c r="J20" s="286">
        <v>787006.231</v>
      </c>
      <c r="K20" s="274"/>
      <c r="L20" s="274">
        <f t="shared" si="0"/>
        <v>100.69999999999999</v>
      </c>
      <c r="M20" s="274"/>
      <c r="N20" s="274"/>
      <c r="O20" s="274"/>
      <c r="P20" s="274">
        <v>107.8028703827999</v>
      </c>
      <c r="Q20" s="275">
        <f t="shared" si="1"/>
        <v>5.161841002257615</v>
      </c>
      <c r="S20" s="277"/>
      <c r="T20" s="277"/>
      <c r="U20" s="279">
        <f t="shared" si="2"/>
        <v>5.07645000185247</v>
      </c>
      <c r="V20" s="277"/>
      <c r="W20" s="280"/>
      <c r="X20" s="281">
        <v>112.67010745063817</v>
      </c>
      <c r="Y20" s="282">
        <f t="shared" si="3"/>
        <v>5.161841002257615</v>
      </c>
      <c r="Z20" s="283"/>
      <c r="AA20" s="284"/>
      <c r="AB20" s="284"/>
      <c r="AC20" s="284"/>
    </row>
    <row r="21" spans="1:26" ht="24" customHeight="1">
      <c r="A21" s="285" t="s">
        <v>107</v>
      </c>
      <c r="B21" s="270" t="s">
        <v>55</v>
      </c>
      <c r="C21" s="271"/>
      <c r="D21" s="271"/>
      <c r="E21" s="272"/>
      <c r="F21" s="273">
        <v>54946</v>
      </c>
      <c r="G21" s="273"/>
      <c r="H21" s="273">
        <v>56704.272000000004</v>
      </c>
      <c r="I21" s="273"/>
      <c r="J21" s="273">
        <v>519336.272</v>
      </c>
      <c r="K21" s="274"/>
      <c r="L21" s="274">
        <f t="shared" si="0"/>
        <v>103.2</v>
      </c>
      <c r="M21" s="274"/>
      <c r="N21" s="274"/>
      <c r="O21" s="274"/>
      <c r="P21" s="274">
        <v>126.67170879005624</v>
      </c>
      <c r="Q21" s="275">
        <f t="shared" si="1"/>
        <v>3.4062389307426124</v>
      </c>
      <c r="R21" s="276"/>
      <c r="S21" s="277"/>
      <c r="T21" s="277"/>
      <c r="U21" s="279">
        <f t="shared" si="2"/>
        <v>4.201717016783372</v>
      </c>
      <c r="V21" s="277"/>
      <c r="W21" s="280"/>
      <c r="X21" s="281">
        <v>107.64649811900328</v>
      </c>
      <c r="Y21" s="282">
        <f t="shared" si="3"/>
        <v>3.4062389307426124</v>
      </c>
      <c r="Z21" s="201"/>
    </row>
    <row r="22" spans="1:25" s="305" customFormat="1" ht="24" customHeight="1">
      <c r="A22" s="290" t="s">
        <v>91</v>
      </c>
      <c r="B22" s="291" t="s">
        <v>55</v>
      </c>
      <c r="C22" s="292"/>
      <c r="D22" s="292"/>
      <c r="E22" s="293"/>
      <c r="F22" s="294">
        <v>39590</v>
      </c>
      <c r="G22" s="294"/>
      <c r="H22" s="294">
        <v>39946.31</v>
      </c>
      <c r="I22" s="294"/>
      <c r="J22" s="294">
        <v>499434.31</v>
      </c>
      <c r="K22" s="295"/>
      <c r="L22" s="295">
        <f t="shared" si="0"/>
        <v>100.89999999999999</v>
      </c>
      <c r="M22" s="295"/>
      <c r="N22" s="295"/>
      <c r="O22" s="295"/>
      <c r="P22" s="295">
        <v>98.20847909231239</v>
      </c>
      <c r="Q22" s="296">
        <f t="shared" si="1"/>
        <v>3.275705321947115</v>
      </c>
      <c r="R22" s="297">
        <f>100-P22</f>
        <v>1.7915209076876124</v>
      </c>
      <c r="S22" s="298"/>
      <c r="T22" s="301"/>
      <c r="U22" s="300">
        <f t="shared" si="2"/>
        <v>2.9599725834537436</v>
      </c>
      <c r="V22" s="301"/>
      <c r="W22" s="302"/>
      <c r="X22" s="303">
        <v>99.13495928388126</v>
      </c>
      <c r="Y22" s="304">
        <f t="shared" si="3"/>
        <v>3.275705321947115</v>
      </c>
    </row>
    <row r="23" spans="1:29" s="276" customFormat="1" ht="24" customHeight="1">
      <c r="A23" s="172" t="s">
        <v>87</v>
      </c>
      <c r="B23" s="74" t="s">
        <v>55</v>
      </c>
      <c r="C23" s="91"/>
      <c r="D23" s="91"/>
      <c r="E23" s="65"/>
      <c r="F23" s="80">
        <v>32618</v>
      </c>
      <c r="G23" s="80"/>
      <c r="H23" s="80">
        <v>33042.034</v>
      </c>
      <c r="I23" s="80"/>
      <c r="J23" s="80">
        <v>327627.034</v>
      </c>
      <c r="K23" s="182"/>
      <c r="L23" s="182">
        <f t="shared" si="0"/>
        <v>101.29999999999998</v>
      </c>
      <c r="M23" s="182"/>
      <c r="N23" s="182"/>
      <c r="O23" s="182"/>
      <c r="P23" s="182">
        <v>102.78688665512135</v>
      </c>
      <c r="Q23" s="187">
        <f t="shared" si="1"/>
        <v>2.148850404145339</v>
      </c>
      <c r="R23" s="51"/>
      <c r="S23" s="210"/>
      <c r="T23" s="210"/>
      <c r="U23" s="243">
        <f t="shared" si="2"/>
        <v>2.44837419880701</v>
      </c>
      <c r="V23" s="210"/>
      <c r="W23" s="208"/>
      <c r="X23" s="252">
        <v>164.33254131115672</v>
      </c>
      <c r="Y23" s="257">
        <f t="shared" si="3"/>
        <v>2.148850404145339</v>
      </c>
      <c r="Z23" s="284"/>
      <c r="AA23" s="284"/>
      <c r="AB23" s="284"/>
      <c r="AC23" s="284"/>
    </row>
    <row r="24" spans="1:26" ht="24" customHeight="1">
      <c r="A24" s="269" t="s">
        <v>64</v>
      </c>
      <c r="B24" s="270" t="s">
        <v>55</v>
      </c>
      <c r="C24" s="271"/>
      <c r="D24" s="271"/>
      <c r="E24" s="287"/>
      <c r="F24" s="287">
        <v>29411</v>
      </c>
      <c r="G24" s="273"/>
      <c r="H24" s="273">
        <v>29763.932</v>
      </c>
      <c r="I24" s="273"/>
      <c r="J24" s="273">
        <v>309174.93200000003</v>
      </c>
      <c r="K24" s="274"/>
      <c r="L24" s="274">
        <f t="shared" si="0"/>
        <v>101.2</v>
      </c>
      <c r="M24" s="274"/>
      <c r="N24" s="274"/>
      <c r="O24" s="274"/>
      <c r="P24" s="274">
        <v>115.6767120007483</v>
      </c>
      <c r="Q24" s="275">
        <f t="shared" si="1"/>
        <v>2.027826182316224</v>
      </c>
      <c r="R24" s="276"/>
      <c r="S24" s="277"/>
      <c r="T24" s="277"/>
      <c r="U24" s="279">
        <f t="shared" si="2"/>
        <v>2.205470860657256</v>
      </c>
      <c r="V24" s="277"/>
      <c r="W24" s="280"/>
      <c r="X24" s="281">
        <v>102.891996050578</v>
      </c>
      <c r="Y24" s="282">
        <f t="shared" si="3"/>
        <v>2.027826182316224</v>
      </c>
      <c r="Z24" s="201"/>
    </row>
    <row r="25" spans="1:25" ht="24" customHeight="1">
      <c r="A25" s="172" t="s">
        <v>77</v>
      </c>
      <c r="B25" s="74" t="s">
        <v>55</v>
      </c>
      <c r="C25" s="91"/>
      <c r="D25" s="91"/>
      <c r="E25" s="64"/>
      <c r="F25" s="80">
        <v>25502</v>
      </c>
      <c r="G25" s="80"/>
      <c r="H25" s="80">
        <v>26063.043999999998</v>
      </c>
      <c r="I25" s="80"/>
      <c r="J25" s="80">
        <v>278349.044</v>
      </c>
      <c r="K25" s="182"/>
      <c r="L25" s="182">
        <f t="shared" si="0"/>
        <v>102.2</v>
      </c>
      <c r="M25" s="182"/>
      <c r="N25" s="182"/>
      <c r="O25" s="182"/>
      <c r="P25" s="182">
        <v>107.94077837066452</v>
      </c>
      <c r="Q25" s="187">
        <f t="shared" si="1"/>
        <v>1.8256443871260901</v>
      </c>
      <c r="S25" s="210"/>
      <c r="T25" s="210"/>
      <c r="U25" s="243">
        <f t="shared" si="2"/>
        <v>1.9312395983846466</v>
      </c>
      <c r="V25" s="210"/>
      <c r="W25" s="208"/>
      <c r="X25" s="252">
        <v>114.48447752080757</v>
      </c>
      <c r="Y25" s="257">
        <f t="shared" si="3"/>
        <v>1.8256443871260901</v>
      </c>
    </row>
    <row r="26" spans="1:29" s="288" customFormat="1" ht="24" customHeight="1">
      <c r="A26" s="174" t="s">
        <v>78</v>
      </c>
      <c r="B26" s="74" t="s">
        <v>55</v>
      </c>
      <c r="C26" s="91"/>
      <c r="D26" s="91"/>
      <c r="E26" s="64"/>
      <c r="F26" s="84">
        <v>18177</v>
      </c>
      <c r="G26" s="84"/>
      <c r="H26" s="84">
        <v>17904.345</v>
      </c>
      <c r="I26" s="84"/>
      <c r="J26" s="84">
        <v>189855.345</v>
      </c>
      <c r="K26" s="182"/>
      <c r="L26" s="182">
        <f t="shared" si="0"/>
        <v>98.50000000000001</v>
      </c>
      <c r="M26" s="182"/>
      <c r="N26" s="182"/>
      <c r="O26" s="182"/>
      <c r="P26" s="182">
        <v>121.24824056097685</v>
      </c>
      <c r="Q26" s="187">
        <f t="shared" si="1"/>
        <v>1.245229155395042</v>
      </c>
      <c r="R26" s="51"/>
      <c r="S26" s="210"/>
      <c r="T26" s="210"/>
      <c r="U26" s="243">
        <f t="shared" si="2"/>
        <v>1.3266900077803714</v>
      </c>
      <c r="V26" s="210"/>
      <c r="W26" s="208"/>
      <c r="X26" s="252">
        <v>89.88918493399541</v>
      </c>
      <c r="Y26" s="257">
        <f t="shared" si="3"/>
        <v>1.245229155395042</v>
      </c>
      <c r="AA26" s="289"/>
      <c r="AB26" s="289"/>
      <c r="AC26" s="289"/>
    </row>
    <row r="27" spans="1:26" ht="24" customHeight="1">
      <c r="A27" s="174" t="s">
        <v>65</v>
      </c>
      <c r="B27" s="74" t="s">
        <v>55</v>
      </c>
      <c r="C27" s="91"/>
      <c r="D27" s="91"/>
      <c r="E27" s="64"/>
      <c r="F27" s="65">
        <v>11099</v>
      </c>
      <c r="G27" s="80"/>
      <c r="H27" s="80">
        <v>11154.495</v>
      </c>
      <c r="I27" s="80"/>
      <c r="J27" s="80">
        <v>136283.495</v>
      </c>
      <c r="K27" s="182"/>
      <c r="L27" s="182">
        <f t="shared" si="0"/>
        <v>100.50000000000001</v>
      </c>
      <c r="M27" s="182"/>
      <c r="N27" s="182"/>
      <c r="O27" s="182"/>
      <c r="P27" s="182">
        <v>125.63238168107817</v>
      </c>
      <c r="Q27" s="187">
        <f t="shared" si="1"/>
        <v>0.8938604355496782</v>
      </c>
      <c r="S27" s="210"/>
      <c r="T27" s="210"/>
      <c r="U27" s="243">
        <f t="shared" si="2"/>
        <v>0.8265344003556743</v>
      </c>
      <c r="V27" s="210"/>
      <c r="W27" s="208"/>
      <c r="X27" s="252">
        <v>152.63616766467067</v>
      </c>
      <c r="Y27" s="257">
        <f t="shared" si="3"/>
        <v>0.8938604355496782</v>
      </c>
      <c r="Z27" s="201"/>
    </row>
    <row r="28" spans="1:26" ht="24" customHeight="1">
      <c r="A28" s="172" t="s">
        <v>89</v>
      </c>
      <c r="B28" s="74" t="s">
        <v>55</v>
      </c>
      <c r="C28" s="91"/>
      <c r="D28" s="91"/>
      <c r="E28" s="64"/>
      <c r="F28" s="65">
        <v>10504</v>
      </c>
      <c r="G28" s="80"/>
      <c r="H28" s="80">
        <v>10546.016000000001</v>
      </c>
      <c r="I28" s="80"/>
      <c r="J28" s="80">
        <v>94830.016</v>
      </c>
      <c r="K28" s="182"/>
      <c r="L28" s="182">
        <f t="shared" si="0"/>
        <v>100.40000000000002</v>
      </c>
      <c r="M28" s="182"/>
      <c r="N28" s="182"/>
      <c r="O28" s="182"/>
      <c r="P28" s="182">
        <v>110.25079464732075</v>
      </c>
      <c r="Q28" s="187">
        <f t="shared" si="1"/>
        <v>0.6219740652009472</v>
      </c>
      <c r="R28" s="190">
        <f>100-P28</f>
        <v>-10.250794647320745</v>
      </c>
      <c r="S28" s="210"/>
      <c r="T28" s="210"/>
      <c r="U28" s="243">
        <f t="shared" si="2"/>
        <v>0.7814468526545887</v>
      </c>
      <c r="V28" s="210"/>
      <c r="W28" s="208"/>
      <c r="X28" s="252">
        <v>98.35254118647035</v>
      </c>
      <c r="Y28" s="257">
        <f t="shared" si="3"/>
        <v>0.6219740652009472</v>
      </c>
      <c r="Z28" s="201"/>
    </row>
    <row r="29" spans="1:25" ht="24" customHeight="1">
      <c r="A29" s="290" t="s">
        <v>88</v>
      </c>
      <c r="B29" s="291" t="s">
        <v>55</v>
      </c>
      <c r="C29" s="292"/>
      <c r="D29" s="292"/>
      <c r="E29" s="293"/>
      <c r="F29" s="306">
        <v>7012</v>
      </c>
      <c r="G29" s="294"/>
      <c r="H29" s="294">
        <v>7033.036</v>
      </c>
      <c r="I29" s="294"/>
      <c r="J29" s="294">
        <v>86781.036</v>
      </c>
      <c r="K29" s="295"/>
      <c r="L29" s="295">
        <f t="shared" si="0"/>
        <v>100.30000000000001</v>
      </c>
      <c r="M29" s="295"/>
      <c r="N29" s="295"/>
      <c r="O29" s="295"/>
      <c r="P29" s="295">
        <v>71.99355898456943</v>
      </c>
      <c r="Q29" s="296">
        <f t="shared" si="1"/>
        <v>0.5691821642555638</v>
      </c>
      <c r="R29" s="305"/>
      <c r="S29" s="298"/>
      <c r="T29" s="301"/>
      <c r="U29" s="300">
        <f t="shared" si="2"/>
        <v>0.5211393427438776</v>
      </c>
      <c r="V29" s="301"/>
      <c r="W29" s="302"/>
      <c r="X29" s="303">
        <v>99.72222222222223</v>
      </c>
      <c r="Y29" s="304">
        <f t="shared" si="3"/>
        <v>0.5691821642555638</v>
      </c>
    </row>
    <row r="30" spans="1:26" ht="24" customHeight="1">
      <c r="A30" s="174" t="s">
        <v>79</v>
      </c>
      <c r="B30" s="74" t="s">
        <v>12</v>
      </c>
      <c r="C30" s="91"/>
      <c r="D30" s="91"/>
      <c r="E30" s="65">
        <v>19031</v>
      </c>
      <c r="F30" s="65">
        <v>40253</v>
      </c>
      <c r="G30" s="80">
        <v>19164.217</v>
      </c>
      <c r="H30" s="80">
        <v>40534.771</v>
      </c>
      <c r="I30" s="84">
        <v>322674.217</v>
      </c>
      <c r="J30" s="84">
        <v>580229.771</v>
      </c>
      <c r="K30" s="182">
        <f aca="true" t="shared" si="4" ref="K30:K35">G30/E30*100</f>
        <v>100.70000000000002</v>
      </c>
      <c r="L30" s="182">
        <f t="shared" si="0"/>
        <v>100.70000000000002</v>
      </c>
      <c r="M30" s="182"/>
      <c r="N30" s="182"/>
      <c r="O30" s="182">
        <v>122.1154558218569</v>
      </c>
      <c r="P30" s="182">
        <v>114.10323256239269</v>
      </c>
      <c r="Q30" s="187">
        <f t="shared" si="1"/>
        <v>3.8056291102965183</v>
      </c>
      <c r="S30" s="210"/>
      <c r="T30" s="210"/>
      <c r="U30" s="243">
        <f t="shared" si="2"/>
        <v>3.0035768219035974</v>
      </c>
      <c r="V30" s="210"/>
      <c r="W30" s="208"/>
      <c r="X30" s="252">
        <v>82.27501876101307</v>
      </c>
      <c r="Y30" s="257">
        <f t="shared" si="3"/>
        <v>3.8056291102965183</v>
      </c>
      <c r="Z30" s="201"/>
    </row>
    <row r="31" spans="1:26" s="305" customFormat="1" ht="24" customHeight="1">
      <c r="A31" s="174" t="s">
        <v>85</v>
      </c>
      <c r="B31" s="74" t="s">
        <v>12</v>
      </c>
      <c r="C31" s="91"/>
      <c r="D31" s="91"/>
      <c r="E31" s="65">
        <v>3882</v>
      </c>
      <c r="F31" s="65">
        <v>34680</v>
      </c>
      <c r="G31" s="80">
        <v>3901.41</v>
      </c>
      <c r="H31" s="80">
        <v>34853.399999999994</v>
      </c>
      <c r="I31" s="80">
        <v>42276.41</v>
      </c>
      <c r="J31" s="80">
        <v>338412.4</v>
      </c>
      <c r="K31" s="182">
        <f t="shared" si="4"/>
        <v>100.49999999999999</v>
      </c>
      <c r="L31" s="182">
        <f t="shared" si="0"/>
        <v>100.49999999999999</v>
      </c>
      <c r="M31" s="182"/>
      <c r="N31" s="182"/>
      <c r="O31" s="182">
        <v>109.26395637341054</v>
      </c>
      <c r="P31" s="182">
        <v>121.61821043779514</v>
      </c>
      <c r="Q31" s="187">
        <f t="shared" si="1"/>
        <v>2.219589798892463</v>
      </c>
      <c r="R31" s="175"/>
      <c r="S31" s="210"/>
      <c r="T31" s="210"/>
      <c r="U31" s="243">
        <f t="shared" si="2"/>
        <v>2.5825941980660216</v>
      </c>
      <c r="V31" s="210"/>
      <c r="W31" s="208"/>
      <c r="X31" s="252">
        <v>127.83627143169196</v>
      </c>
      <c r="Y31" s="257">
        <f t="shared" si="3"/>
        <v>2.219589798892463</v>
      </c>
      <c r="Z31" s="296">
        <f>100-P31</f>
        <v>-21.618210437795142</v>
      </c>
    </row>
    <row r="32" spans="1:25" ht="24" customHeight="1">
      <c r="A32" s="172" t="s">
        <v>90</v>
      </c>
      <c r="B32" s="74" t="s">
        <v>12</v>
      </c>
      <c r="C32" s="91"/>
      <c r="D32" s="91"/>
      <c r="E32" s="65">
        <v>17025</v>
      </c>
      <c r="F32" s="65">
        <v>20936</v>
      </c>
      <c r="G32" s="80">
        <v>17144.175</v>
      </c>
      <c r="H32" s="80">
        <v>21082.551999999996</v>
      </c>
      <c r="I32" s="80">
        <v>221531.175</v>
      </c>
      <c r="J32" s="80">
        <v>256978.552</v>
      </c>
      <c r="K32" s="182">
        <f t="shared" si="4"/>
        <v>100.69999999999999</v>
      </c>
      <c r="L32" s="182">
        <f t="shared" si="0"/>
        <v>100.69999999999999</v>
      </c>
      <c r="M32" s="182"/>
      <c r="N32" s="182"/>
      <c r="O32" s="182">
        <v>154.3018562373755</v>
      </c>
      <c r="P32" s="182">
        <v>118.45386459178407</v>
      </c>
      <c r="Q32" s="187">
        <f t="shared" si="1"/>
        <v>1.6854789379861856</v>
      </c>
      <c r="S32" s="210"/>
      <c r="T32" s="210"/>
      <c r="U32" s="243">
        <f t="shared" si="2"/>
        <v>1.5621912489348297</v>
      </c>
      <c r="V32" s="210"/>
      <c r="W32" s="208"/>
      <c r="X32" s="252">
        <v>97.57271537418191</v>
      </c>
      <c r="Y32" s="257">
        <f t="shared" si="3"/>
        <v>1.6854789379861856</v>
      </c>
    </row>
    <row r="33" spans="1:26" s="305" customFormat="1" ht="24" customHeight="1">
      <c r="A33" s="290" t="s">
        <v>66</v>
      </c>
      <c r="B33" s="291" t="s">
        <v>12</v>
      </c>
      <c r="C33" s="292"/>
      <c r="D33" s="292"/>
      <c r="E33" s="306">
        <v>5197</v>
      </c>
      <c r="F33" s="306">
        <v>9231</v>
      </c>
      <c r="G33" s="294">
        <v>5087.863</v>
      </c>
      <c r="H33" s="294">
        <v>9249.462000000001</v>
      </c>
      <c r="I33" s="294">
        <v>72315.863</v>
      </c>
      <c r="J33" s="294">
        <v>115819.462</v>
      </c>
      <c r="K33" s="295">
        <f t="shared" si="4"/>
        <v>97.9</v>
      </c>
      <c r="L33" s="295">
        <f t="shared" si="0"/>
        <v>100.20000000000002</v>
      </c>
      <c r="M33" s="295"/>
      <c r="N33" s="295"/>
      <c r="O33" s="295">
        <v>90.31467447640219</v>
      </c>
      <c r="P33" s="295">
        <v>83.18929351261278</v>
      </c>
      <c r="Q33" s="296">
        <f t="shared" si="1"/>
        <v>0.7596402979572061</v>
      </c>
      <c r="R33" s="297">
        <f>100-P33</f>
        <v>16.810706487387222</v>
      </c>
      <c r="S33" s="298"/>
      <c r="T33" s="301"/>
      <c r="U33" s="300">
        <f t="shared" si="2"/>
        <v>0.6853737912637546</v>
      </c>
      <c r="V33" s="301"/>
      <c r="W33" s="302"/>
      <c r="X33" s="303">
        <v>104.75097659458595</v>
      </c>
      <c r="Y33" s="304">
        <f t="shared" si="3"/>
        <v>0.7596402979572061</v>
      </c>
      <c r="Z33" s="296">
        <f>100-P33</f>
        <v>16.810706487387222</v>
      </c>
    </row>
    <row r="34" spans="1:26" s="305" customFormat="1" ht="24" customHeight="1">
      <c r="A34" s="307" t="s">
        <v>80</v>
      </c>
      <c r="B34" s="291" t="s">
        <v>12</v>
      </c>
      <c r="C34" s="292"/>
      <c r="D34" s="292"/>
      <c r="E34" s="306">
        <v>515</v>
      </c>
      <c r="F34" s="306">
        <v>4461</v>
      </c>
      <c r="G34" s="294">
        <v>520.665</v>
      </c>
      <c r="H34" s="294">
        <v>4510.071</v>
      </c>
      <c r="I34" s="294">
        <v>6279.665</v>
      </c>
      <c r="J34" s="294">
        <v>56061.070999999996</v>
      </c>
      <c r="K34" s="295">
        <f t="shared" si="4"/>
        <v>101.1</v>
      </c>
      <c r="L34" s="295">
        <f t="shared" si="0"/>
        <v>101.1</v>
      </c>
      <c r="M34" s="295"/>
      <c r="N34" s="295"/>
      <c r="O34" s="295">
        <v>97.87507793017456</v>
      </c>
      <c r="P34" s="295">
        <v>83.87479016741722</v>
      </c>
      <c r="Q34" s="296">
        <f t="shared" si="1"/>
        <v>0.3676951001399064</v>
      </c>
      <c r="R34" s="297">
        <f>100-P34</f>
        <v>16.125209832582783</v>
      </c>
      <c r="S34" s="298"/>
      <c r="T34" s="301"/>
      <c r="U34" s="300">
        <f t="shared" si="2"/>
        <v>0.3341907302434145</v>
      </c>
      <c r="V34" s="301"/>
      <c r="W34" s="302"/>
      <c r="X34" s="303">
        <v>104.97383891424248</v>
      </c>
      <c r="Y34" s="304">
        <f t="shared" si="3"/>
        <v>0.3676951001399064</v>
      </c>
      <c r="Z34" s="296">
        <f>100-P34</f>
        <v>16.125209832582783</v>
      </c>
    </row>
    <row r="35" spans="1:26" ht="24" customHeight="1">
      <c r="A35" s="172" t="s">
        <v>81</v>
      </c>
      <c r="B35" s="74" t="s">
        <v>12</v>
      </c>
      <c r="C35" s="91"/>
      <c r="D35" s="91"/>
      <c r="E35" s="65">
        <v>3313</v>
      </c>
      <c r="F35" s="65">
        <v>4405</v>
      </c>
      <c r="G35" s="80">
        <v>3253.3660000000004</v>
      </c>
      <c r="H35" s="80">
        <v>4325.710000000001</v>
      </c>
      <c r="I35" s="80">
        <v>28372.366</v>
      </c>
      <c r="J35" s="80">
        <v>37520.71</v>
      </c>
      <c r="K35" s="182">
        <f t="shared" si="4"/>
        <v>98.2</v>
      </c>
      <c r="L35" s="182">
        <f t="shared" si="0"/>
        <v>98.20000000000002</v>
      </c>
      <c r="M35" s="182"/>
      <c r="N35" s="182"/>
      <c r="O35" s="182">
        <v>110.23531742948171</v>
      </c>
      <c r="P35" s="182">
        <v>100.1834614973833</v>
      </c>
      <c r="Q35" s="187">
        <f t="shared" si="1"/>
        <v>0.24609200243017812</v>
      </c>
      <c r="R35" s="190">
        <f>100-P35</f>
        <v>-0.18346149738330553</v>
      </c>
      <c r="S35" s="211"/>
      <c r="T35" s="210"/>
      <c r="U35" s="243">
        <f t="shared" si="2"/>
        <v>0.32052980623170696</v>
      </c>
      <c r="V35" s="210"/>
      <c r="W35" s="208"/>
      <c r="X35" s="252">
        <v>87.23327741711125</v>
      </c>
      <c r="Y35" s="257">
        <f t="shared" si="3"/>
        <v>0.24609200243017812</v>
      </c>
      <c r="Z35" s="201"/>
    </row>
    <row r="36" spans="1:25" ht="24" customHeight="1">
      <c r="A36" s="172"/>
      <c r="B36" s="74"/>
      <c r="C36" s="91"/>
      <c r="D36" s="91"/>
      <c r="E36" s="65"/>
      <c r="F36" s="65"/>
      <c r="G36" s="80"/>
      <c r="H36" s="80"/>
      <c r="I36" s="80"/>
      <c r="J36" s="80"/>
      <c r="K36" s="182"/>
      <c r="L36" s="182"/>
      <c r="M36" s="183"/>
      <c r="N36" s="183"/>
      <c r="O36" s="183"/>
      <c r="P36" s="183"/>
      <c r="X36" s="202"/>
      <c r="Y36" s="202"/>
    </row>
    <row r="37" spans="1:25" s="60" customFormat="1" ht="24" customHeight="1">
      <c r="A37" s="126" t="s">
        <v>67</v>
      </c>
      <c r="B37" s="127"/>
      <c r="C37" s="128"/>
      <c r="D37" s="128"/>
      <c r="E37" s="89"/>
      <c r="F37" s="89"/>
      <c r="G37" s="89"/>
      <c r="H37" s="157"/>
      <c r="I37" s="89"/>
      <c r="J37" s="89"/>
      <c r="K37" s="182"/>
      <c r="L37" s="182"/>
      <c r="M37" s="184"/>
      <c r="N37" s="184"/>
      <c r="O37" s="184"/>
      <c r="P37" s="184"/>
      <c r="S37" s="203"/>
      <c r="T37" s="203"/>
      <c r="U37" s="203"/>
      <c r="V37" s="203"/>
      <c r="W37" s="203"/>
      <c r="X37" s="202"/>
      <c r="Y37" s="202"/>
    </row>
    <row r="38" spans="1:27" ht="24" customHeight="1">
      <c r="A38" s="119" t="s">
        <v>69</v>
      </c>
      <c r="B38" s="129" t="s">
        <v>70</v>
      </c>
      <c r="C38" s="87">
        <v>14100</v>
      </c>
      <c r="D38" s="87">
        <v>14300</v>
      </c>
      <c r="E38" s="87"/>
      <c r="F38" s="98">
        <f>1195394/1000</f>
        <v>1195.394</v>
      </c>
      <c r="G38" s="99"/>
      <c r="H38" s="98">
        <f>1204957/1000</f>
        <v>1204.957</v>
      </c>
      <c r="I38" s="100"/>
      <c r="J38" s="101">
        <f>13128565/1000</f>
        <v>13128.565</v>
      </c>
      <c r="K38" s="182"/>
      <c r="L38" s="182">
        <f>H38/F38*100</f>
        <v>100.79998728452712</v>
      </c>
      <c r="M38" s="181"/>
      <c r="N38" s="181"/>
      <c r="O38" s="181"/>
      <c r="P38" s="181">
        <v>102.99514857869987</v>
      </c>
      <c r="Q38" s="190"/>
      <c r="R38" s="191"/>
      <c r="S38" s="220">
        <f>J38/P38*100</f>
        <v>12746.78</v>
      </c>
      <c r="T38" s="223">
        <f>J38/S38*100</f>
        <v>102.99514857869987</v>
      </c>
      <c r="U38" s="242">
        <f>H38*1000</f>
        <v>1204957</v>
      </c>
      <c r="V38" s="247">
        <f>J38/P38*100</f>
        <v>12746.78</v>
      </c>
      <c r="W38" s="247">
        <f>J38/C38*100</f>
        <v>93.110390070922</v>
      </c>
      <c r="X38" s="202"/>
      <c r="Y38" s="253">
        <f>J38*1000</f>
        <v>13128565</v>
      </c>
      <c r="Z38" s="266">
        <f>J38/P38*100</f>
        <v>12746.78</v>
      </c>
      <c r="AA38" s="267">
        <f>J38/Z38*100</f>
        <v>102.99514857869987</v>
      </c>
    </row>
    <row r="39" spans="1:27" s="60" customFormat="1" ht="24" customHeight="1">
      <c r="A39" s="130" t="s">
        <v>61</v>
      </c>
      <c r="B39" s="122" t="s">
        <v>70</v>
      </c>
      <c r="C39" s="89"/>
      <c r="D39" s="89"/>
      <c r="E39" s="89"/>
      <c r="F39" s="102">
        <f>226807/1000</f>
        <v>226.807</v>
      </c>
      <c r="G39" s="102"/>
      <c r="H39" s="102">
        <f>227159/1000</f>
        <v>227.159</v>
      </c>
      <c r="I39" s="103"/>
      <c r="J39" s="103">
        <f>2663333/1000</f>
        <v>2663.333</v>
      </c>
      <c r="K39" s="182"/>
      <c r="L39" s="182">
        <f>H39/F39*100</f>
        <v>100.15519803180678</v>
      </c>
      <c r="M39" s="182"/>
      <c r="N39" s="182"/>
      <c r="O39" s="182"/>
      <c r="P39" s="182">
        <v>99.31298771663498</v>
      </c>
      <c r="S39" s="222">
        <f>S38-S42</f>
        <v>2681.7570000000014</v>
      </c>
      <c r="T39" s="223">
        <f>J39/S39*100</f>
        <v>99.31298771663498</v>
      </c>
      <c r="U39" s="203"/>
      <c r="V39" s="247">
        <f>V38-V42</f>
        <v>2681.7570000000014</v>
      </c>
      <c r="W39" s="203"/>
      <c r="X39" s="202"/>
      <c r="Y39" s="202"/>
      <c r="Z39" s="266">
        <f>Z38-Z42</f>
        <v>2681.7570000000014</v>
      </c>
      <c r="AA39" s="267">
        <f>J39/Z39*100</f>
        <v>99.31298771663498</v>
      </c>
    </row>
    <row r="40" spans="1:27" ht="24" customHeight="1" hidden="1">
      <c r="A40" s="131" t="s">
        <v>63</v>
      </c>
      <c r="B40" s="124" t="s">
        <v>70</v>
      </c>
      <c r="C40" s="91"/>
      <c r="D40" s="91"/>
      <c r="E40" s="91"/>
      <c r="F40" s="104"/>
      <c r="G40" s="104"/>
      <c r="H40" s="104"/>
      <c r="I40" s="104"/>
      <c r="J40" s="104"/>
      <c r="K40" s="182"/>
      <c r="L40" s="182" t="e">
        <f>H40/F40*100</f>
        <v>#DIV/0!</v>
      </c>
      <c r="M40" s="182"/>
      <c r="N40" s="182"/>
      <c r="O40" s="182"/>
      <c r="P40" s="182"/>
      <c r="T40" s="223"/>
      <c r="X40" s="202"/>
      <c r="Y40" s="202"/>
      <c r="AA40" s="267"/>
    </row>
    <row r="41" spans="1:27" ht="24" customHeight="1" hidden="1">
      <c r="A41" s="131" t="s">
        <v>62</v>
      </c>
      <c r="B41" s="124" t="s">
        <v>70</v>
      </c>
      <c r="C41" s="91"/>
      <c r="D41" s="91"/>
      <c r="E41" s="91"/>
      <c r="F41" s="104"/>
      <c r="G41" s="104"/>
      <c r="H41" s="104"/>
      <c r="I41" s="104"/>
      <c r="J41" s="104"/>
      <c r="K41" s="182"/>
      <c r="L41" s="182" t="e">
        <f>H41/F41*100</f>
        <v>#DIV/0!</v>
      </c>
      <c r="M41" s="182"/>
      <c r="N41" s="182"/>
      <c r="O41" s="182"/>
      <c r="P41" s="182"/>
      <c r="T41" s="223"/>
      <c r="X41" s="202"/>
      <c r="Y41" s="202"/>
      <c r="AA41" s="267"/>
    </row>
    <row r="42" spans="1:27" s="60" customFormat="1" ht="24" customHeight="1">
      <c r="A42" s="130" t="s">
        <v>54</v>
      </c>
      <c r="B42" s="122" t="s">
        <v>70</v>
      </c>
      <c r="C42" s="89"/>
      <c r="D42" s="89"/>
      <c r="E42" s="89"/>
      <c r="F42" s="105">
        <f>968587/1000</f>
        <v>968.587</v>
      </c>
      <c r="G42" s="103"/>
      <c r="H42" s="105">
        <f>977798/1000</f>
        <v>977.798</v>
      </c>
      <c r="I42" s="103"/>
      <c r="J42" s="105">
        <f>10465232/1000</f>
        <v>10465.232</v>
      </c>
      <c r="K42" s="182"/>
      <c r="L42" s="182">
        <f>H42/F42*100</f>
        <v>100.95097291208741</v>
      </c>
      <c r="M42" s="182"/>
      <c r="N42" s="182"/>
      <c r="O42" s="182"/>
      <c r="P42" s="182">
        <v>103.97623532504596</v>
      </c>
      <c r="S42" s="221">
        <f>J42/P42*100</f>
        <v>10065.023</v>
      </c>
      <c r="T42" s="223">
        <f>J42/S42*100</f>
        <v>103.97623532504596</v>
      </c>
      <c r="U42" s="203"/>
      <c r="V42" s="247">
        <f>J42/P42*100</f>
        <v>10065.023</v>
      </c>
      <c r="W42" s="203"/>
      <c r="X42" s="202"/>
      <c r="Y42" s="202"/>
      <c r="Z42" s="266">
        <f>J42/P42*100</f>
        <v>10065.023</v>
      </c>
      <c r="AA42" s="267">
        <f>J42/Z42*100</f>
        <v>103.97623532504596</v>
      </c>
    </row>
    <row r="43" spans="1:25" ht="24" customHeight="1">
      <c r="A43" s="119" t="s">
        <v>68</v>
      </c>
      <c r="B43" s="125"/>
      <c r="C43" s="91"/>
      <c r="D43" s="91"/>
      <c r="E43" s="91"/>
      <c r="F43" s="156"/>
      <c r="G43" s="156"/>
      <c r="H43" s="156"/>
      <c r="I43" s="156"/>
      <c r="J43" s="156"/>
      <c r="K43" s="182"/>
      <c r="L43" s="182"/>
      <c r="M43" s="186"/>
      <c r="N43" s="183"/>
      <c r="O43" s="186"/>
      <c r="P43" s="183"/>
      <c r="X43" s="202"/>
      <c r="Y43" s="254"/>
    </row>
    <row r="44" spans="1:25" ht="24" customHeight="1">
      <c r="A44" s="176" t="s">
        <v>96</v>
      </c>
      <c r="B44" s="132" t="s">
        <v>55</v>
      </c>
      <c r="C44" s="91"/>
      <c r="D44" s="91"/>
      <c r="E44" s="93"/>
      <c r="F44" s="137">
        <v>109996</v>
      </c>
      <c r="G44" s="138"/>
      <c r="H44" s="137">
        <v>112965.892</v>
      </c>
      <c r="I44" s="93"/>
      <c r="J44" s="93">
        <v>1496704.892</v>
      </c>
      <c r="K44" s="182"/>
      <c r="L44" s="182">
        <f aca="true" t="shared" si="5" ref="L44:L67">H44/F44*100</f>
        <v>102.70000000000002</v>
      </c>
      <c r="M44" s="182"/>
      <c r="N44" s="182"/>
      <c r="O44" s="182"/>
      <c r="P44" s="182">
        <v>100.67702281655275</v>
      </c>
      <c r="U44" s="219">
        <f aca="true" t="shared" si="6" ref="U44:U67">H44/$U$38*100</f>
        <v>9.375097368619793</v>
      </c>
      <c r="X44" s="255">
        <v>109.6459331567021</v>
      </c>
      <c r="Y44" s="248">
        <f aca="true" t="shared" si="7" ref="Y44:Y67">J44/$Y$38*100</f>
        <v>11.400369286361457</v>
      </c>
    </row>
    <row r="45" spans="1:25" ht="24" customHeight="1">
      <c r="A45" s="176" t="s">
        <v>99</v>
      </c>
      <c r="B45" s="132" t="s">
        <v>55</v>
      </c>
      <c r="C45" s="91"/>
      <c r="D45" s="91"/>
      <c r="E45" s="93"/>
      <c r="F45" s="137">
        <v>81144</v>
      </c>
      <c r="G45" s="139"/>
      <c r="H45" s="137">
        <v>82442.30399999999</v>
      </c>
      <c r="I45" s="140"/>
      <c r="J45" s="93">
        <v>932471.304</v>
      </c>
      <c r="K45" s="182"/>
      <c r="L45" s="182">
        <f t="shared" si="5"/>
        <v>101.59999999999998</v>
      </c>
      <c r="M45" s="182"/>
      <c r="N45" s="182"/>
      <c r="O45" s="182"/>
      <c r="P45" s="182">
        <v>100.67916573542321</v>
      </c>
      <c r="U45" s="219">
        <f t="shared" si="6"/>
        <v>6.841929131081025</v>
      </c>
      <c r="X45" s="255">
        <v>113.17680055884516</v>
      </c>
      <c r="Y45" s="248">
        <f t="shared" si="7"/>
        <v>7.102614063303949</v>
      </c>
    </row>
    <row r="46" spans="1:25" ht="24" customHeight="1">
      <c r="A46" s="177" t="s">
        <v>65</v>
      </c>
      <c r="B46" s="132" t="s">
        <v>55</v>
      </c>
      <c r="C46" s="91"/>
      <c r="D46" s="91"/>
      <c r="E46" s="141"/>
      <c r="F46" s="93">
        <v>86462</v>
      </c>
      <c r="G46" s="138"/>
      <c r="H46" s="137">
        <v>87758.93</v>
      </c>
      <c r="I46" s="93"/>
      <c r="J46" s="93">
        <v>857542.9299999999</v>
      </c>
      <c r="K46" s="182"/>
      <c r="L46" s="182">
        <f t="shared" si="5"/>
        <v>101.49999999999999</v>
      </c>
      <c r="M46" s="182"/>
      <c r="N46" s="182"/>
      <c r="O46" s="182"/>
      <c r="P46" s="182">
        <v>107.67687379772075</v>
      </c>
      <c r="U46" s="219">
        <f t="shared" si="6"/>
        <v>7.283158652134474</v>
      </c>
      <c r="X46" s="255">
        <v>93.51910611349872</v>
      </c>
      <c r="Y46" s="248">
        <f t="shared" si="7"/>
        <v>6.531886234329494</v>
      </c>
    </row>
    <row r="47" spans="1:25" ht="24" customHeight="1">
      <c r="A47" s="178" t="s">
        <v>87</v>
      </c>
      <c r="B47" s="132" t="s">
        <v>55</v>
      </c>
      <c r="C47" s="91"/>
      <c r="D47" s="91"/>
      <c r="E47" s="106"/>
      <c r="F47" s="137">
        <v>70835</v>
      </c>
      <c r="G47" s="138"/>
      <c r="H47" s="137">
        <v>72039.195</v>
      </c>
      <c r="I47" s="140"/>
      <c r="J47" s="93">
        <v>758071.1950000001</v>
      </c>
      <c r="K47" s="182"/>
      <c r="L47" s="182">
        <f t="shared" si="5"/>
        <v>101.70000000000002</v>
      </c>
      <c r="M47" s="182"/>
      <c r="N47" s="182"/>
      <c r="O47" s="182"/>
      <c r="P47" s="182">
        <v>110.70805537219532</v>
      </c>
      <c r="U47" s="219">
        <f t="shared" si="6"/>
        <v>5.978569774689056</v>
      </c>
      <c r="X47" s="255">
        <v>113.10761672175605</v>
      </c>
      <c r="Y47" s="248">
        <f t="shared" si="7"/>
        <v>5.774212147329126</v>
      </c>
    </row>
    <row r="48" spans="1:25" ht="24" customHeight="1">
      <c r="A48" s="177" t="s">
        <v>109</v>
      </c>
      <c r="B48" s="132" t="s">
        <v>55</v>
      </c>
      <c r="C48" s="91"/>
      <c r="D48" s="91"/>
      <c r="E48" s="93"/>
      <c r="F48" s="137">
        <v>84962</v>
      </c>
      <c r="G48" s="139"/>
      <c r="H48" s="137">
        <v>83687.57</v>
      </c>
      <c r="I48" s="140"/>
      <c r="J48" s="93">
        <v>738678.5700000001</v>
      </c>
      <c r="K48" s="182"/>
      <c r="L48" s="182">
        <f t="shared" si="5"/>
        <v>98.50000000000001</v>
      </c>
      <c r="M48" s="182"/>
      <c r="N48" s="182"/>
      <c r="O48" s="182"/>
      <c r="P48" s="182">
        <v>104.5721111240094</v>
      </c>
      <c r="U48" s="219">
        <f t="shared" si="6"/>
        <v>6.94527439568383</v>
      </c>
      <c r="X48" s="255">
        <v>88.38779697134567</v>
      </c>
      <c r="Y48" s="248">
        <f t="shared" si="7"/>
        <v>5.626498935717652</v>
      </c>
    </row>
    <row r="49" spans="1:25" ht="24" customHeight="1">
      <c r="A49" s="177" t="s">
        <v>73</v>
      </c>
      <c r="B49" s="132" t="s">
        <v>55</v>
      </c>
      <c r="C49" s="91"/>
      <c r="D49" s="91"/>
      <c r="E49" s="93"/>
      <c r="F49" s="137">
        <v>44527</v>
      </c>
      <c r="G49" s="138"/>
      <c r="H49" s="137">
        <v>44749.635</v>
      </c>
      <c r="I49" s="93"/>
      <c r="J49" s="93">
        <v>489937.635</v>
      </c>
      <c r="K49" s="182"/>
      <c r="L49" s="182">
        <f t="shared" si="5"/>
        <v>100.50000000000001</v>
      </c>
      <c r="M49" s="182"/>
      <c r="N49" s="182"/>
      <c r="O49" s="182"/>
      <c r="P49" s="182">
        <v>101.84860771861261</v>
      </c>
      <c r="U49" s="219">
        <f t="shared" si="6"/>
        <v>3.7137951810728516</v>
      </c>
      <c r="X49" s="255">
        <v>100.69208718205395</v>
      </c>
      <c r="Y49" s="248">
        <f t="shared" si="7"/>
        <v>3.731844531371098</v>
      </c>
    </row>
    <row r="50" spans="1:25" ht="24" customHeight="1">
      <c r="A50" s="179" t="s">
        <v>107</v>
      </c>
      <c r="B50" s="132" t="s">
        <v>55</v>
      </c>
      <c r="C50" s="91"/>
      <c r="D50" s="91"/>
      <c r="E50" s="93"/>
      <c r="F50" s="137">
        <v>52737</v>
      </c>
      <c r="G50" s="138"/>
      <c r="H50" s="137">
        <v>53686.265999999996</v>
      </c>
      <c r="I50" s="140"/>
      <c r="J50" s="93">
        <v>472499.266</v>
      </c>
      <c r="K50" s="182"/>
      <c r="L50" s="182">
        <f t="shared" si="5"/>
        <v>101.8</v>
      </c>
      <c r="M50" s="182"/>
      <c r="N50" s="182"/>
      <c r="O50" s="182"/>
      <c r="P50" s="182">
        <v>132.3709041296985</v>
      </c>
      <c r="U50" s="219">
        <f t="shared" si="6"/>
        <v>4.455450775421861</v>
      </c>
      <c r="X50" s="255">
        <v>106.20389906039911</v>
      </c>
      <c r="Y50" s="248">
        <f t="shared" si="7"/>
        <v>3.5990168460909473</v>
      </c>
    </row>
    <row r="51" spans="1:25" ht="24" customHeight="1">
      <c r="A51" s="176" t="s">
        <v>101</v>
      </c>
      <c r="B51" s="132" t="s">
        <v>55</v>
      </c>
      <c r="C51" s="91"/>
      <c r="D51" s="91"/>
      <c r="E51" s="93"/>
      <c r="F51" s="137">
        <v>43116</v>
      </c>
      <c r="G51" s="138"/>
      <c r="H51" s="137">
        <v>43331.58</v>
      </c>
      <c r="I51" s="93"/>
      <c r="J51" s="93">
        <v>416841.58</v>
      </c>
      <c r="K51" s="182"/>
      <c r="L51" s="182">
        <f t="shared" si="5"/>
        <v>100.50000000000001</v>
      </c>
      <c r="M51" s="182"/>
      <c r="N51" s="182"/>
      <c r="O51" s="182"/>
      <c r="P51" s="182">
        <v>147.26782547253137</v>
      </c>
      <c r="U51" s="219">
        <f t="shared" si="6"/>
        <v>3.5961100686580516</v>
      </c>
      <c r="X51" s="255">
        <v>124.58144674566833</v>
      </c>
      <c r="Y51" s="248">
        <f t="shared" si="7"/>
        <v>3.175073437195916</v>
      </c>
    </row>
    <row r="52" spans="1:25" ht="24" customHeight="1">
      <c r="A52" s="177" t="s">
        <v>64</v>
      </c>
      <c r="B52" s="132" t="s">
        <v>55</v>
      </c>
      <c r="C52" s="91"/>
      <c r="D52" s="91"/>
      <c r="E52" s="93"/>
      <c r="F52" s="137">
        <v>24593</v>
      </c>
      <c r="G52" s="138"/>
      <c r="H52" s="137">
        <v>24715.965</v>
      </c>
      <c r="I52" s="93"/>
      <c r="J52" s="93">
        <v>268654.965</v>
      </c>
      <c r="K52" s="182"/>
      <c r="L52" s="182">
        <f t="shared" si="5"/>
        <v>100.50000000000001</v>
      </c>
      <c r="M52" s="182"/>
      <c r="N52" s="182"/>
      <c r="O52" s="182"/>
      <c r="P52" s="182">
        <v>116.28876869935591</v>
      </c>
      <c r="U52" s="219">
        <f t="shared" si="6"/>
        <v>2.0511906233998394</v>
      </c>
      <c r="X52" s="255">
        <v>106.11485736986839</v>
      </c>
      <c r="Y52" s="248">
        <f t="shared" si="7"/>
        <v>2.0463391467384286</v>
      </c>
    </row>
    <row r="53" spans="1:25" ht="24" customHeight="1">
      <c r="A53" s="177" t="s">
        <v>76</v>
      </c>
      <c r="B53" s="132" t="s">
        <v>55</v>
      </c>
      <c r="C53" s="91"/>
      <c r="D53" s="91"/>
      <c r="E53" s="93"/>
      <c r="F53" s="137">
        <v>21182</v>
      </c>
      <c r="G53" s="138"/>
      <c r="H53" s="137">
        <v>21118.453999999998</v>
      </c>
      <c r="I53" s="93"/>
      <c r="J53" s="93">
        <v>223516.454</v>
      </c>
      <c r="K53" s="182"/>
      <c r="L53" s="182">
        <f t="shared" si="5"/>
        <v>99.69999999999999</v>
      </c>
      <c r="M53" s="182"/>
      <c r="N53" s="182"/>
      <c r="O53" s="182"/>
      <c r="P53" s="182">
        <v>104.47672186931788</v>
      </c>
      <c r="U53" s="219">
        <f t="shared" si="6"/>
        <v>1.7526313387116716</v>
      </c>
      <c r="X53" s="255">
        <v>100.02120494580117</v>
      </c>
      <c r="Y53" s="248">
        <f t="shared" si="7"/>
        <v>1.7025200697867588</v>
      </c>
    </row>
    <row r="54" spans="1:25" ht="24" customHeight="1">
      <c r="A54" s="177" t="s">
        <v>102</v>
      </c>
      <c r="B54" s="132" t="s">
        <v>55</v>
      </c>
      <c r="C54" s="91"/>
      <c r="D54" s="91"/>
      <c r="E54" s="93"/>
      <c r="F54" s="137">
        <v>17519</v>
      </c>
      <c r="G54" s="138"/>
      <c r="H54" s="137">
        <v>17606.595</v>
      </c>
      <c r="I54" s="93"/>
      <c r="J54" s="93">
        <v>217371.595</v>
      </c>
      <c r="K54" s="182"/>
      <c r="L54" s="182">
        <f t="shared" si="5"/>
        <v>100.50000000000001</v>
      </c>
      <c r="M54" s="182"/>
      <c r="N54" s="182"/>
      <c r="O54" s="182"/>
      <c r="P54" s="182">
        <v>107.83979431360973</v>
      </c>
      <c r="U54" s="219">
        <f t="shared" si="6"/>
        <v>1.4611803574733373</v>
      </c>
      <c r="X54" s="255">
        <v>178.48457447107256</v>
      </c>
      <c r="Y54" s="248">
        <f t="shared" si="7"/>
        <v>1.6557148096536065</v>
      </c>
    </row>
    <row r="55" spans="1:25" ht="24" customHeight="1">
      <c r="A55" s="176" t="s">
        <v>103</v>
      </c>
      <c r="B55" s="132" t="s">
        <v>55</v>
      </c>
      <c r="C55" s="91"/>
      <c r="D55" s="91"/>
      <c r="E55" s="93"/>
      <c r="F55" s="137">
        <v>15655</v>
      </c>
      <c r="G55" s="139"/>
      <c r="H55" s="137">
        <v>15733.275</v>
      </c>
      <c r="I55" s="140"/>
      <c r="J55" s="93">
        <v>189928.275</v>
      </c>
      <c r="K55" s="182"/>
      <c r="L55" s="182">
        <f t="shared" si="5"/>
        <v>100.49999999999999</v>
      </c>
      <c r="M55" s="182"/>
      <c r="N55" s="182"/>
      <c r="O55" s="182"/>
      <c r="P55" s="182">
        <v>102.86187203483459</v>
      </c>
      <c r="U55" s="219">
        <f t="shared" si="6"/>
        <v>1.3057125689962379</v>
      </c>
      <c r="X55" s="255">
        <v>104.18162758753644</v>
      </c>
      <c r="Y55" s="248">
        <f t="shared" si="7"/>
        <v>1.4466796256864325</v>
      </c>
    </row>
    <row r="56" spans="1:25" ht="24" customHeight="1">
      <c r="A56" s="177" t="s">
        <v>74</v>
      </c>
      <c r="B56" s="132" t="s">
        <v>55</v>
      </c>
      <c r="C56" s="91"/>
      <c r="D56" s="91"/>
      <c r="E56" s="93"/>
      <c r="F56" s="137">
        <v>5350</v>
      </c>
      <c r="G56" s="138"/>
      <c r="H56" s="137">
        <v>5376.75</v>
      </c>
      <c r="I56" s="93"/>
      <c r="J56" s="93">
        <v>93774.75</v>
      </c>
      <c r="K56" s="182"/>
      <c r="L56" s="182">
        <f t="shared" si="5"/>
        <v>100.49999999999999</v>
      </c>
      <c r="M56" s="182"/>
      <c r="N56" s="182"/>
      <c r="O56" s="182"/>
      <c r="P56" s="182">
        <v>118.90842346854673</v>
      </c>
      <c r="U56" s="219">
        <f t="shared" si="6"/>
        <v>0.44621924267836943</v>
      </c>
      <c r="X56" s="255">
        <v>192.77814279456857</v>
      </c>
      <c r="Y56" s="248">
        <f t="shared" si="7"/>
        <v>0.714280273586641</v>
      </c>
    </row>
    <row r="57" spans="1:25" ht="24" customHeight="1">
      <c r="A57" s="177" t="s">
        <v>71</v>
      </c>
      <c r="B57" s="132" t="s">
        <v>55</v>
      </c>
      <c r="C57" s="91"/>
      <c r="D57" s="91"/>
      <c r="E57" s="93"/>
      <c r="F57" s="137">
        <v>7194</v>
      </c>
      <c r="G57" s="138"/>
      <c r="H57" s="137">
        <v>8660</v>
      </c>
      <c r="I57" s="93"/>
      <c r="J57" s="93">
        <v>81483</v>
      </c>
      <c r="K57" s="182"/>
      <c r="L57" s="182">
        <f t="shared" si="5"/>
        <v>120.37809285515708</v>
      </c>
      <c r="M57" s="182"/>
      <c r="N57" s="182"/>
      <c r="O57" s="182"/>
      <c r="P57" s="182">
        <v>71.60633782394348</v>
      </c>
      <c r="U57" s="219">
        <f t="shared" si="6"/>
        <v>0.7186978456492638</v>
      </c>
      <c r="X57" s="255">
        <v>95.8888023346394</v>
      </c>
      <c r="Y57" s="248">
        <f t="shared" si="7"/>
        <v>0.6206542756196126</v>
      </c>
    </row>
    <row r="58" spans="1:25" ht="24" customHeight="1">
      <c r="A58" s="177" t="s">
        <v>66</v>
      </c>
      <c r="B58" s="132" t="s">
        <v>12</v>
      </c>
      <c r="C58" s="91"/>
      <c r="D58" s="91"/>
      <c r="E58" s="93">
        <v>66852</v>
      </c>
      <c r="F58" s="137">
        <v>102924</v>
      </c>
      <c r="G58" s="93">
        <v>68523.3</v>
      </c>
      <c r="H58" s="137">
        <v>105497.1</v>
      </c>
      <c r="I58" s="93">
        <v>797657.3</v>
      </c>
      <c r="J58" s="93">
        <v>1053192.1</v>
      </c>
      <c r="K58" s="182">
        <f aca="true" t="shared" si="8" ref="K58:K67">G58/E58*100</f>
        <v>102.50000000000001</v>
      </c>
      <c r="L58" s="182">
        <f t="shared" si="5"/>
        <v>102.50000000000001</v>
      </c>
      <c r="M58" s="182"/>
      <c r="N58" s="182"/>
      <c r="O58" s="182">
        <v>126.81799681387902</v>
      </c>
      <c r="P58" s="182">
        <v>105.18888097647017</v>
      </c>
      <c r="U58" s="219">
        <f t="shared" si="6"/>
        <v>8.75525848640242</v>
      </c>
      <c r="X58" s="255">
        <v>89.63688616787545</v>
      </c>
      <c r="Y58" s="248">
        <f t="shared" si="7"/>
        <v>8.022141795390434</v>
      </c>
    </row>
    <row r="59" spans="1:25" ht="24" customHeight="1">
      <c r="A59" s="176" t="s">
        <v>97</v>
      </c>
      <c r="B59" s="132" t="s">
        <v>12</v>
      </c>
      <c r="C59" s="91"/>
      <c r="D59" s="91"/>
      <c r="E59" s="93">
        <v>128497</v>
      </c>
      <c r="F59" s="137">
        <v>89312</v>
      </c>
      <c r="G59" s="93">
        <v>129653.47300000001</v>
      </c>
      <c r="H59" s="137">
        <v>90115.808</v>
      </c>
      <c r="I59" s="93">
        <v>1434894.473</v>
      </c>
      <c r="J59" s="93">
        <v>933565.808</v>
      </c>
      <c r="K59" s="182">
        <f t="shared" si="8"/>
        <v>100.9</v>
      </c>
      <c r="L59" s="182">
        <f t="shared" si="5"/>
        <v>100.9</v>
      </c>
      <c r="M59" s="182"/>
      <c r="N59" s="182"/>
      <c r="O59" s="182">
        <v>73.61162487424825</v>
      </c>
      <c r="P59" s="182">
        <v>101.95695590112783</v>
      </c>
      <c r="U59" s="219">
        <f t="shared" si="6"/>
        <v>7.47875716726821</v>
      </c>
      <c r="X59" s="255">
        <v>85.53945801349218</v>
      </c>
      <c r="Y59" s="248">
        <f t="shared" si="7"/>
        <v>7.1109508769618</v>
      </c>
    </row>
    <row r="60" spans="1:25" ht="24" customHeight="1">
      <c r="A60" s="176" t="s">
        <v>98</v>
      </c>
      <c r="B60" s="132" t="s">
        <v>12</v>
      </c>
      <c r="C60" s="91"/>
      <c r="D60" s="91"/>
      <c r="E60" s="93">
        <v>19813</v>
      </c>
      <c r="F60" s="137">
        <v>62593</v>
      </c>
      <c r="G60" s="93">
        <v>20070.569</v>
      </c>
      <c r="H60" s="137">
        <v>63406.709</v>
      </c>
      <c r="I60" s="93">
        <v>694967.569</v>
      </c>
      <c r="J60" s="93">
        <v>676923.709</v>
      </c>
      <c r="K60" s="182">
        <f t="shared" si="8"/>
        <v>101.29999999999998</v>
      </c>
      <c r="L60" s="182">
        <f t="shared" si="5"/>
        <v>101.30000000000001</v>
      </c>
      <c r="M60" s="182"/>
      <c r="N60" s="182"/>
      <c r="O60" s="182">
        <v>249.2477634797329</v>
      </c>
      <c r="P60" s="182">
        <v>99.36509396711043</v>
      </c>
      <c r="U60" s="219">
        <f t="shared" si="6"/>
        <v>5.262155330024225</v>
      </c>
      <c r="X60" s="255">
        <v>94.34844608963546</v>
      </c>
      <c r="Y60" s="248">
        <f t="shared" si="7"/>
        <v>5.156113474701919</v>
      </c>
    </row>
    <row r="61" spans="1:25" ht="24" customHeight="1">
      <c r="A61" s="178" t="s">
        <v>100</v>
      </c>
      <c r="B61" s="132" t="s">
        <v>12</v>
      </c>
      <c r="C61" s="91"/>
      <c r="D61" s="91"/>
      <c r="E61" s="93">
        <v>21220</v>
      </c>
      <c r="F61" s="137">
        <v>37438</v>
      </c>
      <c r="G61" s="93">
        <v>21283.66</v>
      </c>
      <c r="H61" s="137">
        <v>37550.314</v>
      </c>
      <c r="I61" s="93">
        <v>285418.66</v>
      </c>
      <c r="J61" s="93">
        <v>459693.314</v>
      </c>
      <c r="K61" s="182">
        <f t="shared" si="8"/>
        <v>100.29999999999998</v>
      </c>
      <c r="L61" s="182">
        <f t="shared" si="5"/>
        <v>100.29999999999998</v>
      </c>
      <c r="M61" s="182"/>
      <c r="N61" s="182"/>
      <c r="O61" s="182">
        <v>76.48406909377394</v>
      </c>
      <c r="P61" s="182">
        <v>98.2996319858012</v>
      </c>
      <c r="U61" s="219">
        <f t="shared" si="6"/>
        <v>3.1163198354796062</v>
      </c>
      <c r="X61" s="255">
        <v>97.82037710648918</v>
      </c>
      <c r="Y61" s="248">
        <f t="shared" si="7"/>
        <v>3.5014741824411124</v>
      </c>
    </row>
    <row r="62" spans="1:25" ht="24" customHeight="1">
      <c r="A62" s="177" t="s">
        <v>82</v>
      </c>
      <c r="B62" s="132" t="s">
        <v>12</v>
      </c>
      <c r="C62" s="91"/>
      <c r="D62" s="91"/>
      <c r="E62" s="93">
        <v>113984</v>
      </c>
      <c r="F62" s="137">
        <v>24143</v>
      </c>
      <c r="G62" s="93">
        <v>284554</v>
      </c>
      <c r="H62" s="137">
        <v>60271.5049656092</v>
      </c>
      <c r="I62" s="93">
        <v>1979704</v>
      </c>
      <c r="J62" s="93">
        <v>402328.5049656092</v>
      </c>
      <c r="K62" s="182">
        <f t="shared" si="8"/>
        <v>249.64380965749578</v>
      </c>
      <c r="L62" s="182">
        <f t="shared" si="5"/>
        <v>249.64380965749578</v>
      </c>
      <c r="M62" s="182"/>
      <c r="N62" s="182"/>
      <c r="O62" s="182">
        <v>106.36244607880272</v>
      </c>
      <c r="P62" s="182">
        <v>95.05986125164132</v>
      </c>
      <c r="U62" s="219">
        <f t="shared" si="6"/>
        <v>5.001963137739289</v>
      </c>
      <c r="X62" s="255">
        <v>174.43359100300714</v>
      </c>
      <c r="Y62" s="248">
        <f t="shared" si="7"/>
        <v>3.0645276537504986</v>
      </c>
    </row>
    <row r="63" spans="1:25" ht="24" customHeight="1">
      <c r="A63" s="176" t="s">
        <v>92</v>
      </c>
      <c r="B63" s="132" t="s">
        <v>12</v>
      </c>
      <c r="C63" s="91"/>
      <c r="D63" s="91"/>
      <c r="E63" s="93">
        <v>18673</v>
      </c>
      <c r="F63" s="137">
        <v>35187</v>
      </c>
      <c r="G63" s="93">
        <v>18710.346</v>
      </c>
      <c r="H63" s="137">
        <v>35257.374</v>
      </c>
      <c r="I63" s="93">
        <v>219315.346</v>
      </c>
      <c r="J63" s="93">
        <v>396896.374</v>
      </c>
      <c r="K63" s="182">
        <f t="shared" si="8"/>
        <v>100.2</v>
      </c>
      <c r="L63" s="182">
        <f t="shared" si="5"/>
        <v>100.2</v>
      </c>
      <c r="M63" s="182"/>
      <c r="N63" s="182"/>
      <c r="O63" s="182">
        <v>95.23938283292368</v>
      </c>
      <c r="P63" s="182">
        <v>90.98578554759318</v>
      </c>
      <c r="U63" s="219">
        <f t="shared" si="6"/>
        <v>2.926027567788726</v>
      </c>
      <c r="X63" s="255">
        <v>96.66558810788096</v>
      </c>
      <c r="Y63" s="248">
        <f t="shared" si="7"/>
        <v>3.0231512278760095</v>
      </c>
    </row>
    <row r="64" spans="1:25" ht="24" customHeight="1">
      <c r="A64" s="177" t="s">
        <v>110</v>
      </c>
      <c r="B64" s="132" t="s">
        <v>52</v>
      </c>
      <c r="C64" s="91"/>
      <c r="D64" s="91"/>
      <c r="E64" s="93">
        <v>436</v>
      </c>
      <c r="F64" s="137">
        <v>8433</v>
      </c>
      <c r="G64" s="93">
        <v>439.92400000000004</v>
      </c>
      <c r="H64" s="137">
        <v>8508.897</v>
      </c>
      <c r="I64" s="93">
        <v>5138.924</v>
      </c>
      <c r="J64" s="93">
        <v>111725.897</v>
      </c>
      <c r="K64" s="182">
        <f t="shared" si="8"/>
        <v>100.9</v>
      </c>
      <c r="L64" s="182">
        <f t="shared" si="5"/>
        <v>100.9</v>
      </c>
      <c r="M64" s="182"/>
      <c r="N64" s="182"/>
      <c r="O64" s="182">
        <v>65.57259155289013</v>
      </c>
      <c r="P64" s="182">
        <v>39.238140676692254</v>
      </c>
      <c r="U64" s="219">
        <f t="shared" si="6"/>
        <v>0.7061577301098713</v>
      </c>
      <c r="X64" s="255">
        <v>233.90044843098013</v>
      </c>
      <c r="Y64" s="248">
        <f t="shared" si="7"/>
        <v>0.851013777971926</v>
      </c>
    </row>
    <row r="65" spans="1:25" ht="24" customHeight="1">
      <c r="A65" s="176" t="s">
        <v>104</v>
      </c>
      <c r="B65" s="132" t="s">
        <v>12</v>
      </c>
      <c r="C65" s="91"/>
      <c r="D65" s="91"/>
      <c r="E65" s="93">
        <v>16992</v>
      </c>
      <c r="F65" s="137">
        <v>9668</v>
      </c>
      <c r="G65" s="93">
        <v>17076.96</v>
      </c>
      <c r="H65" s="137">
        <v>9716.34</v>
      </c>
      <c r="I65" s="93">
        <v>500794.96</v>
      </c>
      <c r="J65" s="93">
        <v>107787.34</v>
      </c>
      <c r="K65" s="182">
        <f t="shared" si="8"/>
        <v>100.49999999999999</v>
      </c>
      <c r="L65" s="182">
        <f t="shared" si="5"/>
        <v>100.50000000000001</v>
      </c>
      <c r="M65" s="182"/>
      <c r="N65" s="182"/>
      <c r="O65" s="182">
        <v>76.16583879082472</v>
      </c>
      <c r="P65" s="182">
        <v>89.92544822005122</v>
      </c>
      <c r="U65" s="219">
        <f t="shared" si="6"/>
        <v>0.8063640445260702</v>
      </c>
      <c r="X65" s="255">
        <v>108.9799307651179</v>
      </c>
      <c r="Y65" s="248">
        <f t="shared" si="7"/>
        <v>0.8210138731841599</v>
      </c>
    </row>
    <row r="66" spans="1:25" ht="24" customHeight="1">
      <c r="A66" s="180" t="s">
        <v>72</v>
      </c>
      <c r="B66" s="133" t="s">
        <v>12</v>
      </c>
      <c r="C66" s="134"/>
      <c r="D66" s="134"/>
      <c r="E66" s="107">
        <v>3492</v>
      </c>
      <c r="F66" s="142">
        <v>1600</v>
      </c>
      <c r="G66" s="107">
        <v>4509</v>
      </c>
      <c r="H66" s="142">
        <v>2065.9793814432987</v>
      </c>
      <c r="I66" s="93">
        <v>130476</v>
      </c>
      <c r="J66" s="93">
        <v>54659.9793814433</v>
      </c>
      <c r="K66" s="182">
        <f t="shared" si="8"/>
        <v>129.1237113402062</v>
      </c>
      <c r="L66" s="182">
        <f t="shared" si="5"/>
        <v>129.12371134020617</v>
      </c>
      <c r="M66" s="182"/>
      <c r="N66" s="182"/>
      <c r="O66" s="182">
        <v>76.16723680984461</v>
      </c>
      <c r="P66" s="182">
        <v>62.06212957596914</v>
      </c>
      <c r="U66" s="219">
        <f t="shared" si="6"/>
        <v>0.17145668944562326</v>
      </c>
      <c r="X66" s="255">
        <v>49.362323789831144</v>
      </c>
      <c r="Y66" s="248">
        <f t="shared" si="7"/>
        <v>0.41634389883009526</v>
      </c>
    </row>
    <row r="67" spans="1:25" ht="24" customHeight="1">
      <c r="A67" s="320" t="s">
        <v>75</v>
      </c>
      <c r="B67" s="135" t="s">
        <v>12</v>
      </c>
      <c r="C67" s="136"/>
      <c r="D67" s="136"/>
      <c r="E67" s="143">
        <v>14843</v>
      </c>
      <c r="F67" s="144">
        <v>3177</v>
      </c>
      <c r="G67" s="143">
        <v>15035.958999999999</v>
      </c>
      <c r="H67" s="144">
        <v>3218.301</v>
      </c>
      <c r="I67" s="143">
        <v>201097.959</v>
      </c>
      <c r="J67" s="143">
        <v>47329.301</v>
      </c>
      <c r="K67" s="185">
        <f t="shared" si="8"/>
        <v>101.29999999999998</v>
      </c>
      <c r="L67" s="185">
        <f t="shared" si="5"/>
        <v>101.29999999999998</v>
      </c>
      <c r="M67" s="185"/>
      <c r="N67" s="185"/>
      <c r="O67" s="185">
        <v>98.7230958423949</v>
      </c>
      <c r="P67" s="185">
        <v>80.99201019901776</v>
      </c>
      <c r="U67" s="219">
        <f t="shared" si="6"/>
        <v>0.26708845211903826</v>
      </c>
      <c r="X67" s="255">
        <v>99.5764119400535</v>
      </c>
      <c r="Y67" s="248">
        <f t="shared" si="7"/>
        <v>0.3605062777234222</v>
      </c>
    </row>
    <row r="68" spans="1:25" ht="16.5">
      <c r="A68" s="66" t="s">
        <v>134</v>
      </c>
      <c r="B68" s="66"/>
      <c r="C68" s="66"/>
      <c r="E68" s="94"/>
      <c r="F68" s="94"/>
      <c r="G68" s="94"/>
      <c r="H68" s="94"/>
      <c r="I68" s="94"/>
      <c r="J68" s="94"/>
      <c r="K68" s="94"/>
      <c r="L68" s="94"/>
      <c r="M68" s="95"/>
      <c r="N68" s="96"/>
      <c r="O68" s="53"/>
      <c r="P68" s="53"/>
      <c r="Y68" s="203"/>
    </row>
    <row r="69" spans="1:13" ht="16.5">
      <c r="A69" s="57" t="s">
        <v>133</v>
      </c>
      <c r="B69" s="56"/>
      <c r="E69" s="57"/>
      <c r="F69" s="57"/>
      <c r="G69" s="57"/>
      <c r="H69" s="57"/>
      <c r="I69" s="57"/>
      <c r="J69" s="57"/>
      <c r="K69" s="57"/>
      <c r="L69" s="57"/>
      <c r="M69" s="55"/>
    </row>
  </sheetData>
  <sheetProtection/>
  <mergeCells count="24">
    <mergeCell ref="K5:L5"/>
    <mergeCell ref="M5:N5"/>
    <mergeCell ref="A2:P2"/>
    <mergeCell ref="A4:A6"/>
    <mergeCell ref="B4:B6"/>
    <mergeCell ref="C4:D6"/>
    <mergeCell ref="E4:F4"/>
    <mergeCell ref="G4:H4"/>
    <mergeCell ref="O5:P5"/>
    <mergeCell ref="I4:J4"/>
    <mergeCell ref="K4:P4"/>
    <mergeCell ref="E5:E6"/>
    <mergeCell ref="O7:P7"/>
    <mergeCell ref="G5:G6"/>
    <mergeCell ref="H5:H6"/>
    <mergeCell ref="F5:F6"/>
    <mergeCell ref="I5:I6"/>
    <mergeCell ref="J5:J6"/>
    <mergeCell ref="C7:D7"/>
    <mergeCell ref="E7:F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9"/>
  <sheetViews>
    <sheetView zoomScalePageLayoutView="0" workbookViewId="0" topLeftCell="A1">
      <pane xSplit="1" ySplit="7" topLeftCell="I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42" sqref="AD42"/>
    </sheetView>
  </sheetViews>
  <sheetFormatPr defaultColWidth="8.72265625" defaultRowHeight="16.5"/>
  <cols>
    <col min="1" max="1" width="34.0859375" style="51" customWidth="1"/>
    <col min="2" max="2" width="6.0859375" style="52" bestFit="1" customWidth="1"/>
    <col min="3" max="4" width="5.90625" style="51" bestFit="1" customWidth="1"/>
    <col min="5" max="5" width="6.90625" style="51" customWidth="1"/>
    <col min="6" max="6" width="8.6328125" style="51" customWidth="1"/>
    <col min="7" max="7" width="6.8125" style="51" customWidth="1"/>
    <col min="8" max="8" width="8.36328125" style="51" customWidth="1"/>
    <col min="9" max="9" width="7.8125" style="51" customWidth="1"/>
    <col min="10" max="10" width="8.36328125" style="51" customWidth="1"/>
    <col min="11" max="11" width="6.453125" style="51" customWidth="1"/>
    <col min="12" max="12" width="6.453125" style="51" bestFit="1" customWidth="1"/>
    <col min="13" max="13" width="4.18359375" style="51" hidden="1" customWidth="1"/>
    <col min="14" max="14" width="5.8125" style="51" hidden="1" customWidth="1"/>
    <col min="15" max="15" width="6.36328125" style="51" customWidth="1"/>
    <col min="16" max="16" width="6.453125" style="51" customWidth="1"/>
    <col min="17" max="17" width="10.18359375" style="51" hidden="1" customWidth="1"/>
    <col min="18" max="18" width="9.18359375" style="51" hidden="1" customWidth="1"/>
    <col min="19" max="19" width="9.18359375" style="203" hidden="1" customWidth="1"/>
    <col min="20" max="20" width="10.18359375" style="203" hidden="1" customWidth="1"/>
    <col min="21" max="21" width="11.6328125" style="203" hidden="1" customWidth="1"/>
    <col min="22" max="22" width="11.18359375" style="203" hidden="1" customWidth="1"/>
    <col min="23" max="23" width="9.18359375" style="203" hidden="1" customWidth="1"/>
    <col min="24" max="24" width="9.18359375" style="60" bestFit="1" customWidth="1"/>
    <col min="25" max="25" width="8.8125" style="60" bestFit="1" customWidth="1"/>
    <col min="26" max="26" width="12.6328125" style="60" bestFit="1" customWidth="1"/>
    <col min="27" max="27" width="10.18359375" style="60" bestFit="1" customWidth="1"/>
    <col min="28" max="29" width="8.90625" style="60" customWidth="1"/>
    <col min="30" max="16384" width="8.90625" style="51" customWidth="1"/>
  </cols>
  <sheetData>
    <row r="1" spans="1:6" ht="16.5">
      <c r="A1" s="50" t="s">
        <v>7</v>
      </c>
      <c r="B1" s="54"/>
      <c r="C1" s="50"/>
      <c r="D1" s="50"/>
      <c r="E1" s="50"/>
      <c r="F1" s="50"/>
    </row>
    <row r="2" spans="1:16" ht="18.75" customHeight="1">
      <c r="A2" s="363" t="s">
        <v>155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ht="16.5">
      <c r="J3" s="81"/>
    </row>
    <row r="4" spans="1:29" s="63" customFormat="1" ht="30" customHeight="1">
      <c r="A4" s="364" t="s">
        <v>13</v>
      </c>
      <c r="B4" s="364" t="s">
        <v>33</v>
      </c>
      <c r="C4" s="367" t="s">
        <v>108</v>
      </c>
      <c r="D4" s="368"/>
      <c r="E4" s="357" t="s">
        <v>163</v>
      </c>
      <c r="F4" s="357"/>
      <c r="G4" s="357" t="s">
        <v>164</v>
      </c>
      <c r="H4" s="357"/>
      <c r="I4" s="357" t="s">
        <v>142</v>
      </c>
      <c r="J4" s="357"/>
      <c r="K4" s="358" t="s">
        <v>9</v>
      </c>
      <c r="L4" s="359"/>
      <c r="M4" s="359"/>
      <c r="N4" s="359"/>
      <c r="O4" s="359"/>
      <c r="P4" s="360"/>
      <c r="S4" s="204"/>
      <c r="T4" s="204"/>
      <c r="U4" s="204"/>
      <c r="V4" s="204"/>
      <c r="W4" s="204"/>
      <c r="X4" s="197"/>
      <c r="Y4" s="197"/>
      <c r="Z4" s="197"/>
      <c r="AA4" s="197"/>
      <c r="AB4" s="197"/>
      <c r="AC4" s="197"/>
    </row>
    <row r="5" spans="1:29" s="63" customFormat="1" ht="36" customHeight="1">
      <c r="A5" s="365"/>
      <c r="B5" s="365"/>
      <c r="C5" s="369"/>
      <c r="D5" s="370"/>
      <c r="E5" s="361" t="s">
        <v>53</v>
      </c>
      <c r="F5" s="361" t="s">
        <v>59</v>
      </c>
      <c r="G5" s="361" t="s">
        <v>53</v>
      </c>
      <c r="H5" s="361" t="s">
        <v>59</v>
      </c>
      <c r="I5" s="361" t="s">
        <v>53</v>
      </c>
      <c r="J5" s="361" t="s">
        <v>59</v>
      </c>
      <c r="K5" s="355" t="s">
        <v>165</v>
      </c>
      <c r="L5" s="356"/>
      <c r="M5" s="355" t="s">
        <v>86</v>
      </c>
      <c r="N5" s="356"/>
      <c r="O5" s="355" t="s">
        <v>166</v>
      </c>
      <c r="P5" s="356"/>
      <c r="S5" s="204"/>
      <c r="T5" s="204"/>
      <c r="U5" s="204"/>
      <c r="V5" s="204"/>
      <c r="W5" s="205"/>
      <c r="X5" s="198" t="s">
        <v>150</v>
      </c>
      <c r="Y5" s="198" t="s">
        <v>149</v>
      </c>
      <c r="Z5" s="197">
        <v>2015</v>
      </c>
      <c r="AA5" s="197"/>
      <c r="AB5" s="197"/>
      <c r="AC5" s="197"/>
    </row>
    <row r="6" spans="1:29" s="53" customFormat="1" ht="16.5">
      <c r="A6" s="366"/>
      <c r="B6" s="366"/>
      <c r="C6" s="371"/>
      <c r="D6" s="372"/>
      <c r="E6" s="362"/>
      <c r="F6" s="362"/>
      <c r="G6" s="362"/>
      <c r="H6" s="362"/>
      <c r="I6" s="362"/>
      <c r="J6" s="362"/>
      <c r="K6" s="170" t="s">
        <v>53</v>
      </c>
      <c r="L6" s="170" t="s">
        <v>59</v>
      </c>
      <c r="M6" s="170" t="s">
        <v>53</v>
      </c>
      <c r="N6" s="170" t="s">
        <v>59</v>
      </c>
      <c r="O6" s="170" t="s">
        <v>53</v>
      </c>
      <c r="P6" s="170" t="s">
        <v>59</v>
      </c>
      <c r="S6" s="206"/>
      <c r="T6" s="206"/>
      <c r="U6" s="206"/>
      <c r="V6" s="206"/>
      <c r="W6" s="207"/>
      <c r="X6" s="199"/>
      <c r="Y6" s="199"/>
      <c r="Z6" s="199"/>
      <c r="AA6" s="199"/>
      <c r="AB6" s="199"/>
      <c r="AC6" s="199"/>
    </row>
    <row r="7" spans="1:29" s="53" customFormat="1" ht="16.5">
      <c r="A7" s="171" t="s">
        <v>10</v>
      </c>
      <c r="B7" s="171" t="s">
        <v>11</v>
      </c>
      <c r="C7" s="353">
        <v>1</v>
      </c>
      <c r="D7" s="354"/>
      <c r="E7" s="353">
        <v>2</v>
      </c>
      <c r="F7" s="354"/>
      <c r="G7" s="353">
        <v>3</v>
      </c>
      <c r="H7" s="354"/>
      <c r="I7" s="353">
        <v>4</v>
      </c>
      <c r="J7" s="354"/>
      <c r="K7" s="353">
        <v>4</v>
      </c>
      <c r="L7" s="354"/>
      <c r="M7" s="353">
        <v>8</v>
      </c>
      <c r="N7" s="354"/>
      <c r="O7" s="353">
        <v>5</v>
      </c>
      <c r="P7" s="354"/>
      <c r="S7" s="207" t="s">
        <v>138</v>
      </c>
      <c r="T7" s="207"/>
      <c r="U7" s="207"/>
      <c r="V7" s="207"/>
      <c r="W7" s="207"/>
      <c r="X7" s="199"/>
      <c r="Y7" s="199"/>
      <c r="Z7" s="199"/>
      <c r="AA7" s="199"/>
      <c r="AB7" s="199"/>
      <c r="AC7" s="199"/>
    </row>
    <row r="8" spans="1:16" ht="21" customHeight="1">
      <c r="A8" s="115" t="s">
        <v>60</v>
      </c>
      <c r="B8" s="116"/>
      <c r="C8" s="117"/>
      <c r="D8" s="118"/>
      <c r="E8" s="59"/>
      <c r="F8" s="86"/>
      <c r="G8" s="86"/>
      <c r="H8" s="86"/>
      <c r="I8" s="82"/>
      <c r="J8" s="83"/>
      <c r="K8" s="58"/>
      <c r="L8" s="58"/>
      <c r="M8" s="58"/>
      <c r="N8" s="58"/>
      <c r="O8" s="58"/>
      <c r="P8" s="58"/>
    </row>
    <row r="9" spans="1:32" ht="21" customHeight="1">
      <c r="A9" s="119" t="s">
        <v>83</v>
      </c>
      <c r="B9" s="120" t="s">
        <v>70</v>
      </c>
      <c r="C9" s="87">
        <v>15800</v>
      </c>
      <c r="D9" s="87">
        <v>16200</v>
      </c>
      <c r="E9" s="87"/>
      <c r="F9" s="97">
        <f>1346470/1000</f>
        <v>1346.47</v>
      </c>
      <c r="G9" s="88"/>
      <c r="H9" s="88">
        <f>1349550/1000</f>
        <v>1349.55</v>
      </c>
      <c r="I9" s="88"/>
      <c r="J9" s="88">
        <f>15246619/1000</f>
        <v>15246.619</v>
      </c>
      <c r="K9" s="181"/>
      <c r="L9" s="246">
        <f>H9/F9*100</f>
        <v>100.22874627730288</v>
      </c>
      <c r="M9" s="181"/>
      <c r="N9" s="181"/>
      <c r="O9" s="181"/>
      <c r="P9" s="181">
        <v>107.98946525711406</v>
      </c>
      <c r="Q9" s="189">
        <f>J9*1000</f>
        <v>15246619</v>
      </c>
      <c r="R9" s="188"/>
      <c r="S9" s="88">
        <f>J9/P9*100</f>
        <v>14118.617</v>
      </c>
      <c r="T9" s="208">
        <f>J9/S9*100</f>
        <v>107.98946525711406</v>
      </c>
      <c r="U9" s="244">
        <f>H9*1000</f>
        <v>1349550</v>
      </c>
      <c r="V9" s="217">
        <f>J9/P9*100</f>
        <v>14118.617</v>
      </c>
      <c r="W9" s="209">
        <f>J9/C9*100</f>
        <v>96.49758860759493</v>
      </c>
      <c r="X9" s="251"/>
      <c r="Y9" s="256">
        <f>J9*1000</f>
        <v>15246619</v>
      </c>
      <c r="Z9" s="200">
        <f>J9/P9*100</f>
        <v>14118.617</v>
      </c>
      <c r="AA9" s="265">
        <f>J9/Z9*100</f>
        <v>107.98946525711406</v>
      </c>
      <c r="AC9" s="60">
        <v>15.3</v>
      </c>
      <c r="AD9" s="51">
        <f>$AC$9*1.07</f>
        <v>16.371000000000002</v>
      </c>
      <c r="AE9" s="51">
        <f>$AC$9*1.09</f>
        <v>16.677000000000003</v>
      </c>
      <c r="AF9" s="51">
        <f>$AC$9*1.08</f>
        <v>16.524</v>
      </c>
    </row>
    <row r="10" spans="1:32" s="60" customFormat="1" ht="21" customHeight="1">
      <c r="A10" s="121" t="s">
        <v>61</v>
      </c>
      <c r="B10" s="122" t="s">
        <v>70</v>
      </c>
      <c r="C10" s="89"/>
      <c r="D10" s="89"/>
      <c r="E10" s="89"/>
      <c r="F10" s="90">
        <f>211062/1000</f>
        <v>211.062</v>
      </c>
      <c r="G10" s="90"/>
      <c r="H10" s="90">
        <f>210466/1000</f>
        <v>210.466</v>
      </c>
      <c r="I10" s="90"/>
      <c r="J10" s="90">
        <f>2519572/1000</f>
        <v>2519.572</v>
      </c>
      <c r="K10" s="182"/>
      <c r="L10" s="182">
        <f aca="true" t="shared" si="0" ref="L10:L67">H10/F10*100</f>
        <v>99.71761851967668</v>
      </c>
      <c r="M10" s="182"/>
      <c r="N10" s="182"/>
      <c r="O10" s="182"/>
      <c r="P10" s="182">
        <v>106.3886242796436</v>
      </c>
      <c r="S10" s="218">
        <f>S9-S13</f>
        <v>2368.271999999999</v>
      </c>
      <c r="T10" s="208">
        <f>J10/S10*100</f>
        <v>106.3886242796436</v>
      </c>
      <c r="U10" s="203"/>
      <c r="V10" s="245">
        <f>V9-V13</f>
        <v>2368.271999999999</v>
      </c>
      <c r="W10" s="203"/>
      <c r="X10" s="202"/>
      <c r="Y10" s="202"/>
      <c r="Z10" s="200">
        <f>Z9-Z13</f>
        <v>2368.271999999999</v>
      </c>
      <c r="AA10" s="265">
        <f>J10/Z10*100</f>
        <v>106.3886242796436</v>
      </c>
      <c r="AF10" s="60">
        <f>AF9/12</f>
        <v>1.377</v>
      </c>
    </row>
    <row r="11" spans="1:25" ht="21" customHeight="1" hidden="1">
      <c r="A11" s="123" t="s">
        <v>63</v>
      </c>
      <c r="B11" s="124" t="s">
        <v>70</v>
      </c>
      <c r="C11" s="91"/>
      <c r="D11" s="91"/>
      <c r="E11" s="91"/>
      <c r="F11" s="92"/>
      <c r="G11" s="92"/>
      <c r="H11" s="92"/>
      <c r="I11" s="92"/>
      <c r="J11" s="92"/>
      <c r="K11" s="182"/>
      <c r="L11" s="182" t="e">
        <f t="shared" si="0"/>
        <v>#DIV/0!</v>
      </c>
      <c r="M11" s="182"/>
      <c r="N11" s="182"/>
      <c r="O11" s="182"/>
      <c r="P11" s="182"/>
      <c r="T11" s="208"/>
      <c r="X11" s="202"/>
      <c r="Y11" s="202"/>
    </row>
    <row r="12" spans="1:25" ht="21" customHeight="1" hidden="1">
      <c r="A12" s="123" t="s">
        <v>62</v>
      </c>
      <c r="B12" s="124" t="s">
        <v>70</v>
      </c>
      <c r="C12" s="91"/>
      <c r="D12" s="91"/>
      <c r="E12" s="91"/>
      <c r="F12" s="92"/>
      <c r="G12" s="92"/>
      <c r="H12" s="92"/>
      <c r="I12" s="92"/>
      <c r="J12" s="92"/>
      <c r="K12" s="182"/>
      <c r="L12" s="182" t="e">
        <f t="shared" si="0"/>
        <v>#DIV/0!</v>
      </c>
      <c r="M12" s="182"/>
      <c r="N12" s="182"/>
      <c r="O12" s="182"/>
      <c r="P12" s="182"/>
      <c r="T12" s="208"/>
      <c r="X12" s="202"/>
      <c r="Y12" s="202"/>
    </row>
    <row r="13" spans="1:32" ht="21" customHeight="1">
      <c r="A13" s="123" t="s">
        <v>54</v>
      </c>
      <c r="B13" s="124" t="s">
        <v>70</v>
      </c>
      <c r="C13" s="91"/>
      <c r="D13" s="91"/>
      <c r="E13" s="91"/>
      <c r="F13" s="263">
        <f>1135408/1000</f>
        <v>1135.408</v>
      </c>
      <c r="G13" s="92"/>
      <c r="H13" s="92">
        <f>1139084/1000</f>
        <v>1139.084</v>
      </c>
      <c r="I13" s="92"/>
      <c r="J13" s="92">
        <f>12727047/1000</f>
        <v>12727.047</v>
      </c>
      <c r="K13" s="182"/>
      <c r="L13" s="182">
        <f t="shared" si="0"/>
        <v>100.32376026943619</v>
      </c>
      <c r="M13" s="182"/>
      <c r="N13" s="182"/>
      <c r="O13" s="182"/>
      <c r="P13" s="182">
        <v>108.31211338901112</v>
      </c>
      <c r="S13" s="217">
        <f>J13/P13*100</f>
        <v>11750.345000000001</v>
      </c>
      <c r="T13" s="208">
        <f>J13/S13*100</f>
        <v>108.31211338901112</v>
      </c>
      <c r="V13" s="217">
        <f>J13/P13*100</f>
        <v>11750.345000000001</v>
      </c>
      <c r="X13" s="202"/>
      <c r="Y13" s="202"/>
      <c r="Z13" s="60">
        <f>J13/P13*100</f>
        <v>11750.345000000001</v>
      </c>
      <c r="AA13" s="264">
        <f>J13/Z13*100</f>
        <v>108.31211338901112</v>
      </c>
      <c r="AF13" s="51">
        <f>1.35/1.33*100</f>
        <v>101.50375939849626</v>
      </c>
    </row>
    <row r="14" spans="1:25" ht="21" customHeight="1">
      <c r="A14" s="119" t="s">
        <v>84</v>
      </c>
      <c r="B14" s="125"/>
      <c r="C14" s="91"/>
      <c r="D14" s="91"/>
      <c r="E14" s="91"/>
      <c r="F14" s="156"/>
      <c r="G14" s="156"/>
      <c r="H14" s="156"/>
      <c r="I14" s="156"/>
      <c r="J14" s="156"/>
      <c r="K14" s="182"/>
      <c r="L14" s="182"/>
      <c r="M14" s="182"/>
      <c r="N14" s="182"/>
      <c r="O14" s="182"/>
      <c r="P14" s="182"/>
      <c r="T14" s="219"/>
      <c r="U14" s="203" t="s">
        <v>149</v>
      </c>
      <c r="X14" s="202"/>
      <c r="Y14" s="202"/>
    </row>
    <row r="15" spans="1:29" s="276" customFormat="1" ht="24" customHeight="1">
      <c r="A15" s="269" t="s">
        <v>93</v>
      </c>
      <c r="B15" s="270" t="s">
        <v>55</v>
      </c>
      <c r="C15" s="271"/>
      <c r="D15" s="271"/>
      <c r="E15" s="272"/>
      <c r="F15" s="273">
        <v>284754</v>
      </c>
      <c r="G15" s="273"/>
      <c r="H15" s="273">
        <v>300415.47</v>
      </c>
      <c r="I15" s="273"/>
      <c r="J15" s="273">
        <v>3143702.4699999997</v>
      </c>
      <c r="K15" s="274"/>
      <c r="L15" s="274">
        <f t="shared" si="0"/>
        <v>105.5</v>
      </c>
      <c r="M15" s="274"/>
      <c r="N15" s="274"/>
      <c r="O15" s="274"/>
      <c r="P15" s="274">
        <v>119.60485837999974</v>
      </c>
      <c r="Q15" s="275">
        <f aca="true" t="shared" si="1" ref="Q15:Q35">J15/$Q$9*100</f>
        <v>20.619013762985748</v>
      </c>
      <c r="S15" s="277"/>
      <c r="T15" s="278"/>
      <c r="U15" s="279">
        <f aca="true" t="shared" si="2" ref="U15:U35">H15/$U$9*100</f>
        <v>22.26041791708347</v>
      </c>
      <c r="V15" s="277"/>
      <c r="W15" s="280"/>
      <c r="X15" s="281">
        <v>116.23575374569988</v>
      </c>
      <c r="Y15" s="282">
        <f aca="true" t="shared" si="3" ref="Y15:Y35">J15/$Y$9*100</f>
        <v>20.619013762985748</v>
      </c>
      <c r="Z15" s="283"/>
      <c r="AA15" s="284"/>
      <c r="AB15" s="284"/>
      <c r="AC15" s="284"/>
    </row>
    <row r="16" spans="1:26" s="305" customFormat="1" ht="24" customHeight="1">
      <c r="A16" s="290" t="s">
        <v>94</v>
      </c>
      <c r="B16" s="291" t="s">
        <v>55</v>
      </c>
      <c r="C16" s="292"/>
      <c r="D16" s="292"/>
      <c r="E16" s="293"/>
      <c r="F16" s="294">
        <v>148224</v>
      </c>
      <c r="G16" s="294"/>
      <c r="H16" s="294">
        <v>155486.97600000002</v>
      </c>
      <c r="I16" s="294"/>
      <c r="J16" s="294">
        <v>1729144.976</v>
      </c>
      <c r="K16" s="295"/>
      <c r="L16" s="295">
        <f t="shared" si="0"/>
        <v>104.90000000000002</v>
      </c>
      <c r="M16" s="295"/>
      <c r="N16" s="295"/>
      <c r="O16" s="295"/>
      <c r="P16" s="295">
        <v>95.90440845973463</v>
      </c>
      <c r="Q16" s="296">
        <f t="shared" si="1"/>
        <v>11.341169973487236</v>
      </c>
      <c r="R16" s="297">
        <f>100-P16</f>
        <v>4.095591540265374</v>
      </c>
      <c r="S16" s="298"/>
      <c r="T16" s="299"/>
      <c r="U16" s="300">
        <f t="shared" si="2"/>
        <v>11.521394242525288</v>
      </c>
      <c r="V16" s="301"/>
      <c r="W16" s="302"/>
      <c r="X16" s="303">
        <v>107.56337643727183</v>
      </c>
      <c r="Y16" s="304">
        <f t="shared" si="3"/>
        <v>11.341169973487236</v>
      </c>
      <c r="Z16" s="296"/>
    </row>
    <row r="17" spans="1:26" ht="24" customHeight="1">
      <c r="A17" s="172" t="s">
        <v>95</v>
      </c>
      <c r="B17" s="74" t="s">
        <v>55</v>
      </c>
      <c r="C17" s="91"/>
      <c r="D17" s="91"/>
      <c r="E17" s="64"/>
      <c r="F17" s="80">
        <v>104277</v>
      </c>
      <c r="G17" s="80"/>
      <c r="H17" s="80">
        <v>111784.944</v>
      </c>
      <c r="I17" s="80"/>
      <c r="J17" s="80">
        <v>1174861.944</v>
      </c>
      <c r="K17" s="182"/>
      <c r="L17" s="182">
        <f t="shared" si="0"/>
        <v>107.2</v>
      </c>
      <c r="M17" s="182"/>
      <c r="N17" s="182"/>
      <c r="O17" s="182"/>
      <c r="P17" s="182">
        <v>100.4364965001248</v>
      </c>
      <c r="Q17" s="187">
        <f t="shared" si="1"/>
        <v>7.705721143815556</v>
      </c>
      <c r="R17" s="190">
        <f>100-P17</f>
        <v>-0.4364965001248038</v>
      </c>
      <c r="S17" s="210"/>
      <c r="T17" s="210"/>
      <c r="U17" s="243">
        <f t="shared" si="2"/>
        <v>8.28312726464377</v>
      </c>
      <c r="V17" s="210"/>
      <c r="W17" s="208"/>
      <c r="X17" s="252">
        <v>119.67959094721338</v>
      </c>
      <c r="Y17" s="257">
        <f t="shared" si="3"/>
        <v>7.705721143815556</v>
      </c>
      <c r="Z17" s="201"/>
    </row>
    <row r="18" spans="1:25" ht="24" customHeight="1">
      <c r="A18" s="172" t="s">
        <v>92</v>
      </c>
      <c r="B18" s="74" t="s">
        <v>55</v>
      </c>
      <c r="C18" s="91"/>
      <c r="D18" s="91"/>
      <c r="E18" s="65"/>
      <c r="F18" s="80">
        <v>100956</v>
      </c>
      <c r="G18" s="80"/>
      <c r="H18" s="80">
        <v>100047.39600000001</v>
      </c>
      <c r="I18" s="80"/>
      <c r="J18" s="80">
        <v>1163355.396</v>
      </c>
      <c r="K18" s="182"/>
      <c r="L18" s="182">
        <f t="shared" si="0"/>
        <v>99.10000000000001</v>
      </c>
      <c r="M18" s="182"/>
      <c r="N18" s="182"/>
      <c r="O18" s="182"/>
      <c r="P18" s="182">
        <v>106.20787524067494</v>
      </c>
      <c r="Q18" s="187">
        <f t="shared" si="1"/>
        <v>7.6302516380844825</v>
      </c>
      <c r="S18" s="210"/>
      <c r="T18" s="210"/>
      <c r="U18" s="243">
        <f t="shared" si="2"/>
        <v>7.413389352006225</v>
      </c>
      <c r="V18" s="210"/>
      <c r="W18" s="208"/>
      <c r="X18" s="252">
        <v>94.71874709545497</v>
      </c>
      <c r="Y18" s="257">
        <f t="shared" si="3"/>
        <v>7.6302516380844825</v>
      </c>
    </row>
    <row r="19" spans="1:26" ht="24" customHeight="1">
      <c r="A19" s="173" t="s">
        <v>105</v>
      </c>
      <c r="B19" s="74" t="s">
        <v>55</v>
      </c>
      <c r="C19" s="91"/>
      <c r="D19" s="91"/>
      <c r="E19" s="65"/>
      <c r="F19" s="80">
        <v>90647</v>
      </c>
      <c r="G19" s="80"/>
      <c r="H19" s="80">
        <v>90828.29400000001</v>
      </c>
      <c r="I19" s="80"/>
      <c r="J19" s="80">
        <v>1014583.294</v>
      </c>
      <c r="K19" s="182"/>
      <c r="L19" s="182">
        <f t="shared" si="0"/>
        <v>100.2</v>
      </c>
      <c r="M19" s="182"/>
      <c r="N19" s="182"/>
      <c r="O19" s="182"/>
      <c r="P19" s="182">
        <v>103.25286417943865</v>
      </c>
      <c r="Q19" s="187">
        <f t="shared" si="1"/>
        <v>6.654480537619521</v>
      </c>
      <c r="S19" s="210"/>
      <c r="T19" s="210"/>
      <c r="U19" s="243">
        <f t="shared" si="2"/>
        <v>6.730265199510948</v>
      </c>
      <c r="V19" s="210"/>
      <c r="W19" s="208"/>
      <c r="X19" s="252">
        <v>99.95699686927757</v>
      </c>
      <c r="Y19" s="257">
        <f t="shared" si="3"/>
        <v>6.654480537619521</v>
      </c>
      <c r="Z19" s="201"/>
    </row>
    <row r="20" spans="1:29" s="276" customFormat="1" ht="24" customHeight="1">
      <c r="A20" s="285" t="s">
        <v>106</v>
      </c>
      <c r="B20" s="270" t="s">
        <v>55</v>
      </c>
      <c r="C20" s="271"/>
      <c r="D20" s="271"/>
      <c r="E20" s="272"/>
      <c r="F20" s="273">
        <v>68033</v>
      </c>
      <c r="G20" s="273"/>
      <c r="H20" s="273">
        <v>68509.231</v>
      </c>
      <c r="I20" s="273"/>
      <c r="J20" s="286">
        <v>787006.231</v>
      </c>
      <c r="K20" s="274"/>
      <c r="L20" s="274">
        <f t="shared" si="0"/>
        <v>100.69999999999999</v>
      </c>
      <c r="M20" s="274"/>
      <c r="N20" s="274"/>
      <c r="O20" s="274"/>
      <c r="P20" s="274">
        <v>107.8028703827999</v>
      </c>
      <c r="Q20" s="275">
        <f t="shared" si="1"/>
        <v>5.161841002257615</v>
      </c>
      <c r="S20" s="277"/>
      <c r="T20" s="277"/>
      <c r="U20" s="279">
        <f t="shared" si="2"/>
        <v>5.07645000185247</v>
      </c>
      <c r="V20" s="277"/>
      <c r="W20" s="280"/>
      <c r="X20" s="281">
        <v>112.67010745063817</v>
      </c>
      <c r="Y20" s="282">
        <f t="shared" si="3"/>
        <v>5.161841002257615</v>
      </c>
      <c r="Z20" s="283"/>
      <c r="AA20" s="284"/>
      <c r="AB20" s="284"/>
      <c r="AC20" s="284"/>
    </row>
    <row r="21" spans="1:26" ht="24" customHeight="1">
      <c r="A21" s="174" t="s">
        <v>79</v>
      </c>
      <c r="B21" s="74" t="s">
        <v>12</v>
      </c>
      <c r="C21" s="91"/>
      <c r="D21" s="91"/>
      <c r="E21" s="65">
        <v>19031</v>
      </c>
      <c r="F21" s="65">
        <v>40253</v>
      </c>
      <c r="G21" s="80">
        <v>19164.217</v>
      </c>
      <c r="H21" s="80">
        <v>40534.771</v>
      </c>
      <c r="I21" s="84">
        <v>322674.217</v>
      </c>
      <c r="J21" s="84">
        <v>580229.771</v>
      </c>
      <c r="K21" s="182">
        <f>G21/E21*100</f>
        <v>100.70000000000002</v>
      </c>
      <c r="L21" s="182">
        <f t="shared" si="0"/>
        <v>100.70000000000002</v>
      </c>
      <c r="M21" s="182"/>
      <c r="N21" s="182"/>
      <c r="O21" s="182">
        <v>122.1154558218569</v>
      </c>
      <c r="P21" s="182">
        <v>114.10323256239269</v>
      </c>
      <c r="Q21" s="187">
        <f t="shared" si="1"/>
        <v>3.8056291102965183</v>
      </c>
      <c r="S21" s="210"/>
      <c r="T21" s="210"/>
      <c r="U21" s="243">
        <f t="shared" si="2"/>
        <v>3.0035768219035974</v>
      </c>
      <c r="V21" s="210"/>
      <c r="W21" s="208"/>
      <c r="X21" s="252">
        <v>82.27501876101307</v>
      </c>
      <c r="Y21" s="257">
        <f t="shared" si="3"/>
        <v>3.8056291102965183</v>
      </c>
      <c r="Z21" s="201"/>
    </row>
    <row r="22" spans="1:25" s="305" customFormat="1" ht="24" customHeight="1">
      <c r="A22" s="290" t="s">
        <v>91</v>
      </c>
      <c r="B22" s="291" t="s">
        <v>55</v>
      </c>
      <c r="C22" s="292"/>
      <c r="D22" s="292"/>
      <c r="E22" s="293"/>
      <c r="F22" s="294">
        <v>39590</v>
      </c>
      <c r="G22" s="294"/>
      <c r="H22" s="294">
        <v>39946.31</v>
      </c>
      <c r="I22" s="294"/>
      <c r="J22" s="294">
        <v>499434.31</v>
      </c>
      <c r="K22" s="295"/>
      <c r="L22" s="295">
        <f t="shared" si="0"/>
        <v>100.89999999999999</v>
      </c>
      <c r="M22" s="295"/>
      <c r="N22" s="295"/>
      <c r="O22" s="295"/>
      <c r="P22" s="295">
        <v>98.20847909231239</v>
      </c>
      <c r="Q22" s="296">
        <f t="shared" si="1"/>
        <v>3.275705321947115</v>
      </c>
      <c r="R22" s="297">
        <f>100-P22</f>
        <v>1.7915209076876124</v>
      </c>
      <c r="S22" s="298"/>
      <c r="T22" s="301"/>
      <c r="U22" s="300">
        <f t="shared" si="2"/>
        <v>2.9599725834537436</v>
      </c>
      <c r="V22" s="301"/>
      <c r="W22" s="302"/>
      <c r="X22" s="303">
        <v>99.13495928388126</v>
      </c>
      <c r="Y22" s="304">
        <f t="shared" si="3"/>
        <v>3.275705321947115</v>
      </c>
    </row>
    <row r="23" spans="1:29" s="276" customFormat="1" ht="24" customHeight="1">
      <c r="A23" s="285" t="s">
        <v>107</v>
      </c>
      <c r="B23" s="270" t="s">
        <v>55</v>
      </c>
      <c r="C23" s="271"/>
      <c r="D23" s="271"/>
      <c r="E23" s="272"/>
      <c r="F23" s="273">
        <v>54946</v>
      </c>
      <c r="G23" s="273"/>
      <c r="H23" s="273">
        <v>56704.272000000004</v>
      </c>
      <c r="I23" s="273"/>
      <c r="J23" s="273">
        <v>519336.272</v>
      </c>
      <c r="K23" s="274"/>
      <c r="L23" s="274">
        <f t="shared" si="0"/>
        <v>103.2</v>
      </c>
      <c r="M23" s="274"/>
      <c r="N23" s="274"/>
      <c r="O23" s="274"/>
      <c r="P23" s="274">
        <v>126.67170879005624</v>
      </c>
      <c r="Q23" s="275">
        <f t="shared" si="1"/>
        <v>3.4062389307426124</v>
      </c>
      <c r="S23" s="277"/>
      <c r="T23" s="277"/>
      <c r="U23" s="279">
        <f t="shared" si="2"/>
        <v>4.201717016783372</v>
      </c>
      <c r="V23" s="277"/>
      <c r="W23" s="280"/>
      <c r="X23" s="281">
        <v>107.64649811900328</v>
      </c>
      <c r="Y23" s="282">
        <f t="shared" si="3"/>
        <v>3.4062389307426124</v>
      </c>
      <c r="Z23" s="284"/>
      <c r="AA23" s="284"/>
      <c r="AB23" s="284"/>
      <c r="AC23" s="284"/>
    </row>
    <row r="24" spans="1:26" ht="24" customHeight="1">
      <c r="A24" s="174" t="s">
        <v>85</v>
      </c>
      <c r="B24" s="74" t="s">
        <v>12</v>
      </c>
      <c r="C24" s="91"/>
      <c r="D24" s="91"/>
      <c r="E24" s="65">
        <v>3882</v>
      </c>
      <c r="F24" s="65">
        <v>34680</v>
      </c>
      <c r="G24" s="80">
        <v>3901.41</v>
      </c>
      <c r="H24" s="80">
        <v>34853.399999999994</v>
      </c>
      <c r="I24" s="80">
        <v>42276.41</v>
      </c>
      <c r="J24" s="80">
        <v>338412.4</v>
      </c>
      <c r="K24" s="182">
        <f>G24/E24*100</f>
        <v>100.49999999999999</v>
      </c>
      <c r="L24" s="182">
        <f t="shared" si="0"/>
        <v>100.49999999999999</v>
      </c>
      <c r="M24" s="182"/>
      <c r="N24" s="182"/>
      <c r="O24" s="182">
        <v>109.26395637341054</v>
      </c>
      <c r="P24" s="182">
        <v>121.61821043779514</v>
      </c>
      <c r="Q24" s="187">
        <f t="shared" si="1"/>
        <v>2.219589798892463</v>
      </c>
      <c r="R24" s="175"/>
      <c r="S24" s="210"/>
      <c r="T24" s="210"/>
      <c r="U24" s="243">
        <f t="shared" si="2"/>
        <v>2.5825941980660216</v>
      </c>
      <c r="V24" s="210"/>
      <c r="W24" s="208"/>
      <c r="X24" s="252">
        <v>127.83627143169196</v>
      </c>
      <c r="Y24" s="257">
        <f t="shared" si="3"/>
        <v>2.219589798892463</v>
      </c>
      <c r="Z24" s="201"/>
    </row>
    <row r="25" spans="1:25" ht="24" customHeight="1">
      <c r="A25" s="172" t="s">
        <v>87</v>
      </c>
      <c r="B25" s="74" t="s">
        <v>55</v>
      </c>
      <c r="C25" s="91"/>
      <c r="D25" s="91"/>
      <c r="E25" s="65"/>
      <c r="F25" s="80">
        <v>32618</v>
      </c>
      <c r="G25" s="80"/>
      <c r="H25" s="80">
        <v>33042.034</v>
      </c>
      <c r="I25" s="80"/>
      <c r="J25" s="80">
        <v>327627.034</v>
      </c>
      <c r="K25" s="182"/>
      <c r="L25" s="182">
        <f t="shared" si="0"/>
        <v>101.29999999999998</v>
      </c>
      <c r="M25" s="182"/>
      <c r="N25" s="182"/>
      <c r="O25" s="182"/>
      <c r="P25" s="182">
        <v>102.78688665512135</v>
      </c>
      <c r="Q25" s="187">
        <f t="shared" si="1"/>
        <v>2.148850404145339</v>
      </c>
      <c r="S25" s="210"/>
      <c r="T25" s="210"/>
      <c r="U25" s="243">
        <f t="shared" si="2"/>
        <v>2.44837419880701</v>
      </c>
      <c r="V25" s="210"/>
      <c r="W25" s="208"/>
      <c r="X25" s="252">
        <v>164.33254131115672</v>
      </c>
      <c r="Y25" s="257">
        <f t="shared" si="3"/>
        <v>2.148850404145339</v>
      </c>
    </row>
    <row r="26" spans="1:29" s="288" customFormat="1" ht="24" customHeight="1">
      <c r="A26" s="269" t="s">
        <v>64</v>
      </c>
      <c r="B26" s="270" t="s">
        <v>55</v>
      </c>
      <c r="C26" s="271"/>
      <c r="D26" s="271"/>
      <c r="E26" s="287"/>
      <c r="F26" s="287">
        <v>29411</v>
      </c>
      <c r="G26" s="273"/>
      <c r="H26" s="273">
        <v>29763.932</v>
      </c>
      <c r="I26" s="273"/>
      <c r="J26" s="273">
        <v>309174.93200000003</v>
      </c>
      <c r="K26" s="274"/>
      <c r="L26" s="274">
        <f t="shared" si="0"/>
        <v>101.2</v>
      </c>
      <c r="M26" s="274"/>
      <c r="N26" s="274"/>
      <c r="O26" s="274"/>
      <c r="P26" s="274">
        <v>115.6767120007483</v>
      </c>
      <c r="Q26" s="275">
        <f t="shared" si="1"/>
        <v>2.027826182316224</v>
      </c>
      <c r="R26" s="276"/>
      <c r="S26" s="277"/>
      <c r="T26" s="277"/>
      <c r="U26" s="279">
        <f t="shared" si="2"/>
        <v>2.205470860657256</v>
      </c>
      <c r="V26" s="277"/>
      <c r="W26" s="280"/>
      <c r="X26" s="281">
        <v>102.891996050578</v>
      </c>
      <c r="Y26" s="282">
        <f t="shared" si="3"/>
        <v>2.027826182316224</v>
      </c>
      <c r="AA26" s="289"/>
      <c r="AB26" s="289"/>
      <c r="AC26" s="289"/>
    </row>
    <row r="27" spans="1:26" ht="24" customHeight="1">
      <c r="A27" s="172" t="s">
        <v>77</v>
      </c>
      <c r="B27" s="74" t="s">
        <v>55</v>
      </c>
      <c r="C27" s="91"/>
      <c r="D27" s="91"/>
      <c r="E27" s="64"/>
      <c r="F27" s="80">
        <v>25502</v>
      </c>
      <c r="G27" s="80"/>
      <c r="H27" s="80">
        <v>26063.043999999998</v>
      </c>
      <c r="I27" s="80"/>
      <c r="J27" s="80">
        <v>278349.044</v>
      </c>
      <c r="K27" s="182"/>
      <c r="L27" s="182">
        <f t="shared" si="0"/>
        <v>102.2</v>
      </c>
      <c r="M27" s="182"/>
      <c r="N27" s="182"/>
      <c r="O27" s="182"/>
      <c r="P27" s="182">
        <v>107.94077837066452</v>
      </c>
      <c r="Q27" s="187">
        <f t="shared" si="1"/>
        <v>1.8256443871260901</v>
      </c>
      <c r="S27" s="210"/>
      <c r="T27" s="210"/>
      <c r="U27" s="243">
        <f t="shared" si="2"/>
        <v>1.9312395983846466</v>
      </c>
      <c r="V27" s="210"/>
      <c r="W27" s="208"/>
      <c r="X27" s="252">
        <v>114.48447752080757</v>
      </c>
      <c r="Y27" s="257">
        <f t="shared" si="3"/>
        <v>1.8256443871260901</v>
      </c>
      <c r="Z27" s="201"/>
    </row>
    <row r="28" spans="1:26" ht="24" customHeight="1">
      <c r="A28" s="172" t="s">
        <v>90</v>
      </c>
      <c r="B28" s="74" t="s">
        <v>12</v>
      </c>
      <c r="C28" s="91"/>
      <c r="D28" s="91"/>
      <c r="E28" s="65">
        <v>17025</v>
      </c>
      <c r="F28" s="65">
        <v>20936</v>
      </c>
      <c r="G28" s="80">
        <v>17144.175</v>
      </c>
      <c r="H28" s="80">
        <v>21082.551999999996</v>
      </c>
      <c r="I28" s="80">
        <v>221531.175</v>
      </c>
      <c r="J28" s="80">
        <v>256978.552</v>
      </c>
      <c r="K28" s="182">
        <f>G28/E28*100</f>
        <v>100.69999999999999</v>
      </c>
      <c r="L28" s="182">
        <f t="shared" si="0"/>
        <v>100.69999999999999</v>
      </c>
      <c r="M28" s="182"/>
      <c r="N28" s="182"/>
      <c r="O28" s="182">
        <v>154.3018562373755</v>
      </c>
      <c r="P28" s="182">
        <v>118.45386459178407</v>
      </c>
      <c r="Q28" s="187">
        <f t="shared" si="1"/>
        <v>1.6854789379861856</v>
      </c>
      <c r="S28" s="210"/>
      <c r="T28" s="210"/>
      <c r="U28" s="243">
        <f t="shared" si="2"/>
        <v>1.5621912489348297</v>
      </c>
      <c r="V28" s="210"/>
      <c r="W28" s="208"/>
      <c r="X28" s="252">
        <v>97.57271537418191</v>
      </c>
      <c r="Y28" s="257">
        <f t="shared" si="3"/>
        <v>1.6854789379861856</v>
      </c>
      <c r="Z28" s="201"/>
    </row>
    <row r="29" spans="1:25" ht="24" customHeight="1">
      <c r="A29" s="174" t="s">
        <v>78</v>
      </c>
      <c r="B29" s="74" t="s">
        <v>55</v>
      </c>
      <c r="C29" s="91"/>
      <c r="D29" s="91"/>
      <c r="E29" s="64"/>
      <c r="F29" s="84">
        <v>18177</v>
      </c>
      <c r="G29" s="84"/>
      <c r="H29" s="84">
        <v>17904.345</v>
      </c>
      <c r="I29" s="84"/>
      <c r="J29" s="84">
        <v>189855.345</v>
      </c>
      <c r="K29" s="182"/>
      <c r="L29" s="182">
        <f t="shared" si="0"/>
        <v>98.50000000000001</v>
      </c>
      <c r="M29" s="182"/>
      <c r="N29" s="182"/>
      <c r="O29" s="182"/>
      <c r="P29" s="182">
        <v>121.24824056097685</v>
      </c>
      <c r="Q29" s="187">
        <f t="shared" si="1"/>
        <v>1.245229155395042</v>
      </c>
      <c r="S29" s="210"/>
      <c r="T29" s="210"/>
      <c r="U29" s="243">
        <f t="shared" si="2"/>
        <v>1.3266900077803714</v>
      </c>
      <c r="V29" s="210"/>
      <c r="W29" s="208"/>
      <c r="X29" s="252">
        <v>89.88918493399541</v>
      </c>
      <c r="Y29" s="257">
        <f t="shared" si="3"/>
        <v>1.245229155395042</v>
      </c>
    </row>
    <row r="30" spans="1:26" ht="24" customHeight="1">
      <c r="A30" s="174" t="s">
        <v>65</v>
      </c>
      <c r="B30" s="74" t="s">
        <v>55</v>
      </c>
      <c r="C30" s="91"/>
      <c r="D30" s="91"/>
      <c r="E30" s="64"/>
      <c r="F30" s="65">
        <v>11099</v>
      </c>
      <c r="G30" s="80"/>
      <c r="H30" s="80">
        <v>11154.495</v>
      </c>
      <c r="I30" s="80"/>
      <c r="J30" s="80">
        <v>136283.495</v>
      </c>
      <c r="K30" s="182"/>
      <c r="L30" s="182">
        <f t="shared" si="0"/>
        <v>100.50000000000001</v>
      </c>
      <c r="M30" s="182"/>
      <c r="N30" s="182"/>
      <c r="O30" s="182"/>
      <c r="P30" s="182">
        <v>125.63238168107817</v>
      </c>
      <c r="Q30" s="187">
        <f t="shared" si="1"/>
        <v>0.8938604355496782</v>
      </c>
      <c r="S30" s="210"/>
      <c r="T30" s="210"/>
      <c r="U30" s="243">
        <f t="shared" si="2"/>
        <v>0.8265344003556743</v>
      </c>
      <c r="V30" s="210"/>
      <c r="W30" s="208"/>
      <c r="X30" s="252">
        <v>152.63616766467067</v>
      </c>
      <c r="Y30" s="257">
        <f t="shared" si="3"/>
        <v>0.8938604355496782</v>
      </c>
      <c r="Z30" s="201"/>
    </row>
    <row r="31" spans="1:26" s="305" customFormat="1" ht="24" customHeight="1">
      <c r="A31" s="290" t="s">
        <v>66</v>
      </c>
      <c r="B31" s="291" t="s">
        <v>12</v>
      </c>
      <c r="C31" s="292"/>
      <c r="D31" s="292"/>
      <c r="E31" s="306">
        <v>5197</v>
      </c>
      <c r="F31" s="306">
        <v>9231</v>
      </c>
      <c r="G31" s="294">
        <v>5087.863</v>
      </c>
      <c r="H31" s="294">
        <v>9249.462000000001</v>
      </c>
      <c r="I31" s="294">
        <v>72315.863</v>
      </c>
      <c r="J31" s="294">
        <v>115819.462</v>
      </c>
      <c r="K31" s="295">
        <f>G31/E31*100</f>
        <v>97.9</v>
      </c>
      <c r="L31" s="295">
        <f t="shared" si="0"/>
        <v>100.20000000000002</v>
      </c>
      <c r="M31" s="295"/>
      <c r="N31" s="295"/>
      <c r="O31" s="295">
        <v>90.31467447640219</v>
      </c>
      <c r="P31" s="295">
        <v>83.18929351261278</v>
      </c>
      <c r="Q31" s="296">
        <f t="shared" si="1"/>
        <v>0.7596402979572061</v>
      </c>
      <c r="R31" s="297">
        <f>100-P31</f>
        <v>16.810706487387222</v>
      </c>
      <c r="S31" s="298"/>
      <c r="T31" s="301"/>
      <c r="U31" s="300">
        <f t="shared" si="2"/>
        <v>0.6853737912637546</v>
      </c>
      <c r="V31" s="301"/>
      <c r="W31" s="302"/>
      <c r="X31" s="303">
        <v>104.75097659458595</v>
      </c>
      <c r="Y31" s="304">
        <f t="shared" si="3"/>
        <v>0.7596402979572061</v>
      </c>
      <c r="Z31" s="296">
        <f>100-P31</f>
        <v>16.810706487387222</v>
      </c>
    </row>
    <row r="32" spans="1:25" ht="24" customHeight="1">
      <c r="A32" s="172" t="s">
        <v>89</v>
      </c>
      <c r="B32" s="74" t="s">
        <v>55</v>
      </c>
      <c r="C32" s="91"/>
      <c r="D32" s="91"/>
      <c r="E32" s="64"/>
      <c r="F32" s="65">
        <v>10504</v>
      </c>
      <c r="G32" s="80"/>
      <c r="H32" s="80">
        <v>10546.016000000001</v>
      </c>
      <c r="I32" s="80"/>
      <c r="J32" s="80">
        <v>94830.016</v>
      </c>
      <c r="K32" s="182"/>
      <c r="L32" s="182">
        <f t="shared" si="0"/>
        <v>100.40000000000002</v>
      </c>
      <c r="M32" s="182"/>
      <c r="N32" s="182"/>
      <c r="O32" s="182"/>
      <c r="P32" s="182">
        <v>110.25079464732075</v>
      </c>
      <c r="Q32" s="187">
        <f t="shared" si="1"/>
        <v>0.6219740652009472</v>
      </c>
      <c r="R32" s="190">
        <f>100-P32</f>
        <v>-10.250794647320745</v>
      </c>
      <c r="S32" s="210"/>
      <c r="T32" s="210"/>
      <c r="U32" s="243">
        <f t="shared" si="2"/>
        <v>0.7814468526545887</v>
      </c>
      <c r="V32" s="210"/>
      <c r="W32" s="208"/>
      <c r="X32" s="252">
        <v>98.35254118647035</v>
      </c>
      <c r="Y32" s="257">
        <f t="shared" si="3"/>
        <v>0.6219740652009472</v>
      </c>
    </row>
    <row r="33" spans="1:26" s="305" customFormat="1" ht="24" customHeight="1">
      <c r="A33" s="290" t="s">
        <v>88</v>
      </c>
      <c r="B33" s="291" t="s">
        <v>55</v>
      </c>
      <c r="C33" s="292"/>
      <c r="D33" s="292"/>
      <c r="E33" s="293"/>
      <c r="F33" s="306">
        <v>7012</v>
      </c>
      <c r="G33" s="294"/>
      <c r="H33" s="294">
        <v>7033.036</v>
      </c>
      <c r="I33" s="294"/>
      <c r="J33" s="294">
        <v>86781.036</v>
      </c>
      <c r="K33" s="295"/>
      <c r="L33" s="295">
        <f t="shared" si="0"/>
        <v>100.30000000000001</v>
      </c>
      <c r="M33" s="295"/>
      <c r="N33" s="295"/>
      <c r="O33" s="295"/>
      <c r="P33" s="295">
        <v>71.99355898456943</v>
      </c>
      <c r="Q33" s="296">
        <f t="shared" si="1"/>
        <v>0.5691821642555638</v>
      </c>
      <c r="S33" s="298"/>
      <c r="T33" s="301"/>
      <c r="U33" s="300">
        <f t="shared" si="2"/>
        <v>0.5211393427438776</v>
      </c>
      <c r="V33" s="301"/>
      <c r="W33" s="302"/>
      <c r="X33" s="303">
        <v>99.72222222222223</v>
      </c>
      <c r="Y33" s="304">
        <f t="shared" si="3"/>
        <v>0.5691821642555638</v>
      </c>
      <c r="Z33" s="296">
        <f>100-P33</f>
        <v>28.006441015430568</v>
      </c>
    </row>
    <row r="34" spans="1:26" s="305" customFormat="1" ht="24" customHeight="1">
      <c r="A34" s="307" t="s">
        <v>80</v>
      </c>
      <c r="B34" s="291" t="s">
        <v>12</v>
      </c>
      <c r="C34" s="292"/>
      <c r="D34" s="292"/>
      <c r="E34" s="306">
        <v>515</v>
      </c>
      <c r="F34" s="306">
        <v>4461</v>
      </c>
      <c r="G34" s="294">
        <v>520.665</v>
      </c>
      <c r="H34" s="294">
        <v>4510.071</v>
      </c>
      <c r="I34" s="294">
        <v>6279.665</v>
      </c>
      <c r="J34" s="294">
        <v>56061.070999999996</v>
      </c>
      <c r="K34" s="295">
        <f>G34/E34*100</f>
        <v>101.1</v>
      </c>
      <c r="L34" s="295">
        <f t="shared" si="0"/>
        <v>101.1</v>
      </c>
      <c r="M34" s="295"/>
      <c r="N34" s="295"/>
      <c r="O34" s="295">
        <v>97.87507793017456</v>
      </c>
      <c r="P34" s="295">
        <v>83.87479016741722</v>
      </c>
      <c r="Q34" s="296">
        <f t="shared" si="1"/>
        <v>0.3676951001399064</v>
      </c>
      <c r="R34" s="297">
        <f>100-P34</f>
        <v>16.125209832582783</v>
      </c>
      <c r="S34" s="298"/>
      <c r="T34" s="301"/>
      <c r="U34" s="300">
        <f t="shared" si="2"/>
        <v>0.3341907302434145</v>
      </c>
      <c r="V34" s="301"/>
      <c r="W34" s="302"/>
      <c r="X34" s="303">
        <v>104.97383891424248</v>
      </c>
      <c r="Y34" s="304">
        <f t="shared" si="3"/>
        <v>0.3676951001399064</v>
      </c>
      <c r="Z34" s="296">
        <f>100-P34</f>
        <v>16.125209832582783</v>
      </c>
    </row>
    <row r="35" spans="1:26" ht="24" customHeight="1">
      <c r="A35" s="172" t="s">
        <v>81</v>
      </c>
      <c r="B35" s="74" t="s">
        <v>12</v>
      </c>
      <c r="C35" s="91"/>
      <c r="D35" s="91"/>
      <c r="E35" s="65">
        <v>3313</v>
      </c>
      <c r="F35" s="65">
        <v>4405</v>
      </c>
      <c r="G35" s="80">
        <v>3253.3660000000004</v>
      </c>
      <c r="H35" s="80">
        <v>4325.710000000001</v>
      </c>
      <c r="I35" s="80">
        <v>28372.366</v>
      </c>
      <c r="J35" s="80">
        <v>37520.71</v>
      </c>
      <c r="K35" s="182">
        <f>G35/E35*100</f>
        <v>98.2</v>
      </c>
      <c r="L35" s="182">
        <f t="shared" si="0"/>
        <v>98.20000000000002</v>
      </c>
      <c r="M35" s="182"/>
      <c r="N35" s="182"/>
      <c r="O35" s="182">
        <v>110.23531742948171</v>
      </c>
      <c r="P35" s="182">
        <v>100.1834614973833</v>
      </c>
      <c r="Q35" s="187">
        <f t="shared" si="1"/>
        <v>0.24609200243017812</v>
      </c>
      <c r="R35" s="190">
        <f>100-P35</f>
        <v>-0.18346149738330553</v>
      </c>
      <c r="S35" s="211"/>
      <c r="T35" s="210"/>
      <c r="U35" s="243">
        <f t="shared" si="2"/>
        <v>0.32052980623170696</v>
      </c>
      <c r="V35" s="210"/>
      <c r="W35" s="208"/>
      <c r="X35" s="252">
        <v>87.23327741711125</v>
      </c>
      <c r="Y35" s="257">
        <f t="shared" si="3"/>
        <v>0.24609200243017812</v>
      </c>
      <c r="Z35" s="201"/>
    </row>
    <row r="36" spans="1:25" ht="24" customHeight="1">
      <c r="A36" s="172"/>
      <c r="B36" s="74"/>
      <c r="C36" s="91"/>
      <c r="D36" s="91"/>
      <c r="E36" s="65"/>
      <c r="F36" s="65"/>
      <c r="G36" s="80"/>
      <c r="H36" s="80"/>
      <c r="I36" s="80"/>
      <c r="J36" s="80"/>
      <c r="K36" s="182"/>
      <c r="L36" s="182"/>
      <c r="M36" s="183"/>
      <c r="N36" s="183"/>
      <c r="O36" s="183"/>
      <c r="P36" s="183"/>
      <c r="X36" s="202"/>
      <c r="Y36" s="202"/>
    </row>
    <row r="37" spans="1:25" s="60" customFormat="1" ht="24" customHeight="1">
      <c r="A37" s="126" t="s">
        <v>67</v>
      </c>
      <c r="B37" s="127"/>
      <c r="C37" s="128"/>
      <c r="D37" s="128"/>
      <c r="E37" s="89"/>
      <c r="F37" s="89"/>
      <c r="G37" s="89"/>
      <c r="H37" s="157"/>
      <c r="I37" s="89"/>
      <c r="J37" s="89"/>
      <c r="K37" s="182"/>
      <c r="L37" s="182"/>
      <c r="M37" s="184"/>
      <c r="N37" s="184"/>
      <c r="O37" s="184"/>
      <c r="P37" s="184"/>
      <c r="S37" s="203"/>
      <c r="T37" s="203"/>
      <c r="U37" s="203"/>
      <c r="V37" s="203"/>
      <c r="W37" s="203"/>
      <c r="X37" s="202"/>
      <c r="Y37" s="202"/>
    </row>
    <row r="38" spans="1:29" ht="24" customHeight="1">
      <c r="A38" s="119" t="s">
        <v>69</v>
      </c>
      <c r="B38" s="129" t="s">
        <v>70</v>
      </c>
      <c r="C38" s="87">
        <v>14100</v>
      </c>
      <c r="D38" s="87">
        <v>14300</v>
      </c>
      <c r="E38" s="87"/>
      <c r="F38" s="98">
        <f>1195394/1000</f>
        <v>1195.394</v>
      </c>
      <c r="G38" s="99"/>
      <c r="H38" s="98">
        <f>1204957/1000</f>
        <v>1204.957</v>
      </c>
      <c r="I38" s="100"/>
      <c r="J38" s="101">
        <f>13128565/1000</f>
        <v>13128.565</v>
      </c>
      <c r="K38" s="182"/>
      <c r="L38" s="182">
        <f>H38/F38*100</f>
        <v>100.79998728452712</v>
      </c>
      <c r="M38" s="181"/>
      <c r="N38" s="181"/>
      <c r="O38" s="181"/>
      <c r="P38" s="181">
        <v>102.99514857869987</v>
      </c>
      <c r="Q38" s="190"/>
      <c r="R38" s="191"/>
      <c r="S38" s="220">
        <f>J38/P38*100</f>
        <v>12746.78</v>
      </c>
      <c r="T38" s="223">
        <f>J38/S38*100</f>
        <v>102.99514857869987</v>
      </c>
      <c r="U38" s="242">
        <f>H38*1000</f>
        <v>1204957</v>
      </c>
      <c r="V38" s="247">
        <f>J38/P38*100</f>
        <v>12746.78</v>
      </c>
      <c r="W38" s="247">
        <f>J38/C38*100</f>
        <v>93.110390070922</v>
      </c>
      <c r="X38" s="202"/>
      <c r="Y38" s="253">
        <f>J38*1000</f>
        <v>13128565</v>
      </c>
      <c r="Z38" s="266">
        <f>J38/P38*100</f>
        <v>12746.78</v>
      </c>
      <c r="AA38" s="267">
        <f>J38/Z38*100</f>
        <v>102.99514857869987</v>
      </c>
      <c r="AC38" s="60">
        <f>J38*1.06</f>
        <v>13916.278900000001</v>
      </c>
    </row>
    <row r="39" spans="1:29" s="60" customFormat="1" ht="24" customHeight="1">
      <c r="A39" s="130" t="s">
        <v>61</v>
      </c>
      <c r="B39" s="122" t="s">
        <v>70</v>
      </c>
      <c r="C39" s="89"/>
      <c r="D39" s="89"/>
      <c r="E39" s="89"/>
      <c r="F39" s="102">
        <f>226807/1000</f>
        <v>226.807</v>
      </c>
      <c r="G39" s="102"/>
      <c r="H39" s="102">
        <f>227159/1000</f>
        <v>227.159</v>
      </c>
      <c r="I39" s="103"/>
      <c r="J39" s="103">
        <f>2663333/1000</f>
        <v>2663.333</v>
      </c>
      <c r="K39" s="182"/>
      <c r="L39" s="182">
        <f t="shared" si="0"/>
        <v>100.15519803180678</v>
      </c>
      <c r="M39" s="182"/>
      <c r="N39" s="182"/>
      <c r="O39" s="182"/>
      <c r="P39" s="182">
        <v>99.31298771663498</v>
      </c>
      <c r="S39" s="222">
        <f>S38-S42</f>
        <v>2681.7570000000014</v>
      </c>
      <c r="T39" s="223">
        <f>J39/S39*100</f>
        <v>99.31298771663498</v>
      </c>
      <c r="U39" s="203"/>
      <c r="V39" s="247">
        <f>V38-V42</f>
        <v>2681.7570000000014</v>
      </c>
      <c r="W39" s="203"/>
      <c r="X39" s="202"/>
      <c r="Y39" s="202"/>
      <c r="Z39" s="266">
        <f>Z38-Z42</f>
        <v>2681.7570000000014</v>
      </c>
      <c r="AA39" s="267">
        <f>J39/Z39*100</f>
        <v>99.31298771663498</v>
      </c>
      <c r="AC39" s="60">
        <f>AC38/12</f>
        <v>1159.6899083333335</v>
      </c>
    </row>
    <row r="40" spans="1:27" ht="24" customHeight="1" hidden="1">
      <c r="A40" s="131" t="s">
        <v>63</v>
      </c>
      <c r="B40" s="124" t="s">
        <v>70</v>
      </c>
      <c r="C40" s="91"/>
      <c r="D40" s="91"/>
      <c r="E40" s="91"/>
      <c r="F40" s="104"/>
      <c r="G40" s="104"/>
      <c r="H40" s="104"/>
      <c r="I40" s="104"/>
      <c r="J40" s="104"/>
      <c r="K40" s="182"/>
      <c r="L40" s="182" t="e">
        <f t="shared" si="0"/>
        <v>#DIV/0!</v>
      </c>
      <c r="M40" s="182"/>
      <c r="N40" s="182"/>
      <c r="O40" s="182"/>
      <c r="P40" s="182"/>
      <c r="T40" s="223"/>
      <c r="X40" s="202"/>
      <c r="Y40" s="202"/>
      <c r="AA40" s="267"/>
    </row>
    <row r="41" spans="1:27" ht="24" customHeight="1" hidden="1">
      <c r="A41" s="131" t="s">
        <v>62</v>
      </c>
      <c r="B41" s="124" t="s">
        <v>70</v>
      </c>
      <c r="C41" s="91"/>
      <c r="D41" s="91"/>
      <c r="E41" s="91"/>
      <c r="F41" s="104"/>
      <c r="G41" s="104"/>
      <c r="H41" s="104"/>
      <c r="I41" s="104"/>
      <c r="J41" s="104"/>
      <c r="K41" s="182"/>
      <c r="L41" s="182" t="e">
        <f t="shared" si="0"/>
        <v>#DIV/0!</v>
      </c>
      <c r="M41" s="182"/>
      <c r="N41" s="182"/>
      <c r="O41" s="182"/>
      <c r="P41" s="182"/>
      <c r="T41" s="223"/>
      <c r="X41" s="202"/>
      <c r="Y41" s="202"/>
      <c r="AA41" s="267"/>
    </row>
    <row r="42" spans="1:30" s="60" customFormat="1" ht="24" customHeight="1">
      <c r="A42" s="130" t="s">
        <v>54</v>
      </c>
      <c r="B42" s="122" t="s">
        <v>70</v>
      </c>
      <c r="C42" s="89"/>
      <c r="D42" s="89"/>
      <c r="E42" s="89"/>
      <c r="F42" s="105">
        <f>968587/1000</f>
        <v>968.587</v>
      </c>
      <c r="G42" s="103"/>
      <c r="H42" s="105">
        <f>977798/1000</f>
        <v>977.798</v>
      </c>
      <c r="I42" s="103"/>
      <c r="J42" s="105">
        <f>10465232/1000</f>
        <v>10465.232</v>
      </c>
      <c r="K42" s="182"/>
      <c r="L42" s="182">
        <f t="shared" si="0"/>
        <v>100.95097291208741</v>
      </c>
      <c r="M42" s="182"/>
      <c r="N42" s="182"/>
      <c r="O42" s="182"/>
      <c r="P42" s="182">
        <v>103.97623532504596</v>
      </c>
      <c r="S42" s="221">
        <f>J42/P42*100</f>
        <v>10065.023</v>
      </c>
      <c r="T42" s="223">
        <f>J42/S42*100</f>
        <v>103.97623532504596</v>
      </c>
      <c r="U42" s="203"/>
      <c r="V42" s="247">
        <f>J42/P42*100</f>
        <v>10065.023</v>
      </c>
      <c r="W42" s="203"/>
      <c r="X42" s="202"/>
      <c r="Y42" s="202"/>
      <c r="Z42" s="266">
        <f>J42/P42*100</f>
        <v>10065.023</v>
      </c>
      <c r="AA42" s="267">
        <f>J42/Z42*100</f>
        <v>103.97623532504596</v>
      </c>
      <c r="AC42" s="60">
        <v>1.25</v>
      </c>
      <c r="AD42" s="60">
        <f>AC42/1.11*100</f>
        <v>112.6126126126126</v>
      </c>
    </row>
    <row r="43" spans="1:25" ht="24" customHeight="1">
      <c r="A43" s="119" t="s">
        <v>68</v>
      </c>
      <c r="B43" s="125"/>
      <c r="C43" s="91"/>
      <c r="D43" s="91"/>
      <c r="E43" s="91"/>
      <c r="F43" s="156"/>
      <c r="G43" s="156"/>
      <c r="H43" s="156"/>
      <c r="I43" s="156"/>
      <c r="J43" s="156"/>
      <c r="K43" s="182"/>
      <c r="L43" s="182"/>
      <c r="M43" s="186"/>
      <c r="N43" s="183"/>
      <c r="O43" s="186"/>
      <c r="P43" s="183"/>
      <c r="X43" s="202"/>
      <c r="Y43" s="254"/>
    </row>
    <row r="44" spans="1:25" ht="24" customHeight="1">
      <c r="A44" s="176" t="s">
        <v>96</v>
      </c>
      <c r="B44" s="132" t="s">
        <v>55</v>
      </c>
      <c r="C44" s="91"/>
      <c r="D44" s="91"/>
      <c r="E44" s="93"/>
      <c r="F44" s="137">
        <v>109996</v>
      </c>
      <c r="G44" s="138"/>
      <c r="H44" s="137">
        <v>112965.892</v>
      </c>
      <c r="I44" s="93"/>
      <c r="J44" s="93">
        <v>1496704.892</v>
      </c>
      <c r="K44" s="182"/>
      <c r="L44" s="182">
        <f t="shared" si="0"/>
        <v>102.70000000000002</v>
      </c>
      <c r="M44" s="182"/>
      <c r="N44" s="182"/>
      <c r="O44" s="182"/>
      <c r="P44" s="182">
        <v>100.67702281655275</v>
      </c>
      <c r="U44" s="219">
        <f aca="true" t="shared" si="4" ref="U44:U67">H44/$U$38*100</f>
        <v>9.375097368619793</v>
      </c>
      <c r="X44" s="255">
        <v>109.6459331567021</v>
      </c>
      <c r="Y44" s="248">
        <f aca="true" t="shared" si="5" ref="Y44:Y67">J44/$Y$38*100</f>
        <v>11.400369286361457</v>
      </c>
    </row>
    <row r="45" spans="1:25" ht="24" customHeight="1">
      <c r="A45" s="177" t="s">
        <v>66</v>
      </c>
      <c r="B45" s="132" t="s">
        <v>12</v>
      </c>
      <c r="C45" s="91"/>
      <c r="D45" s="91"/>
      <c r="E45" s="93">
        <v>66852</v>
      </c>
      <c r="F45" s="137">
        <v>102924</v>
      </c>
      <c r="G45" s="93">
        <v>68523.3</v>
      </c>
      <c r="H45" s="137">
        <v>105497.1</v>
      </c>
      <c r="I45" s="93">
        <v>797657.3</v>
      </c>
      <c r="J45" s="93">
        <v>1053192.1</v>
      </c>
      <c r="K45" s="182">
        <f>G45/E45*100</f>
        <v>102.50000000000001</v>
      </c>
      <c r="L45" s="182">
        <f t="shared" si="0"/>
        <v>102.50000000000001</v>
      </c>
      <c r="M45" s="182"/>
      <c r="N45" s="182"/>
      <c r="O45" s="182">
        <v>126.81799681387902</v>
      </c>
      <c r="P45" s="182">
        <v>105.18888097647017</v>
      </c>
      <c r="U45" s="219">
        <f t="shared" si="4"/>
        <v>8.75525848640242</v>
      </c>
      <c r="X45" s="255">
        <v>89.63688616787545</v>
      </c>
      <c r="Y45" s="248">
        <f t="shared" si="5"/>
        <v>8.022141795390434</v>
      </c>
    </row>
    <row r="46" spans="1:25" ht="24" customHeight="1">
      <c r="A46" s="176" t="s">
        <v>99</v>
      </c>
      <c r="B46" s="132" t="s">
        <v>55</v>
      </c>
      <c r="C46" s="91"/>
      <c r="D46" s="91"/>
      <c r="E46" s="93"/>
      <c r="F46" s="137">
        <v>81144</v>
      </c>
      <c r="G46" s="139"/>
      <c r="H46" s="137">
        <v>82442.30399999999</v>
      </c>
      <c r="I46" s="140"/>
      <c r="J46" s="93">
        <v>932471.304</v>
      </c>
      <c r="K46" s="182"/>
      <c r="L46" s="182">
        <f t="shared" si="0"/>
        <v>101.59999999999998</v>
      </c>
      <c r="M46" s="182"/>
      <c r="N46" s="182"/>
      <c r="O46" s="182"/>
      <c r="P46" s="182">
        <v>100.67916573542321</v>
      </c>
      <c r="U46" s="219">
        <f t="shared" si="4"/>
        <v>6.841929131081025</v>
      </c>
      <c r="X46" s="255">
        <v>113.17680055884516</v>
      </c>
      <c r="Y46" s="248">
        <f t="shared" si="5"/>
        <v>7.102614063303949</v>
      </c>
    </row>
    <row r="47" spans="1:25" ht="24" customHeight="1">
      <c r="A47" s="176" t="s">
        <v>97</v>
      </c>
      <c r="B47" s="132" t="s">
        <v>12</v>
      </c>
      <c r="C47" s="91"/>
      <c r="D47" s="91"/>
      <c r="E47" s="106">
        <v>128497</v>
      </c>
      <c r="F47" s="137">
        <v>89312</v>
      </c>
      <c r="G47" s="93">
        <v>129653.47300000001</v>
      </c>
      <c r="H47" s="137">
        <v>90115.808</v>
      </c>
      <c r="I47" s="93">
        <v>1434894.473</v>
      </c>
      <c r="J47" s="93">
        <v>933565.808</v>
      </c>
      <c r="K47" s="182">
        <f>G47/E47*100</f>
        <v>100.9</v>
      </c>
      <c r="L47" s="182">
        <f t="shared" si="0"/>
        <v>100.9</v>
      </c>
      <c r="M47" s="182"/>
      <c r="N47" s="182"/>
      <c r="O47" s="182">
        <v>73.61162487424825</v>
      </c>
      <c r="P47" s="182">
        <v>101.95695590112783</v>
      </c>
      <c r="U47" s="219">
        <f t="shared" si="4"/>
        <v>7.47875716726821</v>
      </c>
      <c r="X47" s="255">
        <v>85.53945801349218</v>
      </c>
      <c r="Y47" s="248">
        <f t="shared" si="5"/>
        <v>7.1109508769618</v>
      </c>
    </row>
    <row r="48" spans="1:25" ht="24" customHeight="1">
      <c r="A48" s="177" t="s">
        <v>65</v>
      </c>
      <c r="B48" s="132" t="s">
        <v>55</v>
      </c>
      <c r="C48" s="91"/>
      <c r="D48" s="91"/>
      <c r="E48" s="141"/>
      <c r="F48" s="93">
        <v>86462</v>
      </c>
      <c r="G48" s="138"/>
      <c r="H48" s="137">
        <v>87758.93</v>
      </c>
      <c r="I48" s="93"/>
      <c r="J48" s="93">
        <v>857542.9299999999</v>
      </c>
      <c r="K48" s="182"/>
      <c r="L48" s="182">
        <f t="shared" si="0"/>
        <v>101.49999999999999</v>
      </c>
      <c r="M48" s="182"/>
      <c r="N48" s="182"/>
      <c r="O48" s="182"/>
      <c r="P48" s="182">
        <v>107.67687379772075</v>
      </c>
      <c r="U48" s="219">
        <f t="shared" si="4"/>
        <v>7.283158652134474</v>
      </c>
      <c r="X48" s="255">
        <v>93.51910611349872</v>
      </c>
      <c r="Y48" s="248">
        <f t="shared" si="5"/>
        <v>6.531886234329494</v>
      </c>
    </row>
    <row r="49" spans="1:25" ht="24" customHeight="1">
      <c r="A49" s="178" t="s">
        <v>87</v>
      </c>
      <c r="B49" s="132" t="s">
        <v>55</v>
      </c>
      <c r="C49" s="91"/>
      <c r="D49" s="91"/>
      <c r="E49" s="93"/>
      <c r="F49" s="137">
        <v>70835</v>
      </c>
      <c r="G49" s="138"/>
      <c r="H49" s="137">
        <v>72039.195</v>
      </c>
      <c r="I49" s="140"/>
      <c r="J49" s="93">
        <v>758071.1950000001</v>
      </c>
      <c r="K49" s="182"/>
      <c r="L49" s="182">
        <f t="shared" si="0"/>
        <v>101.70000000000002</v>
      </c>
      <c r="M49" s="182"/>
      <c r="N49" s="182"/>
      <c r="O49" s="182"/>
      <c r="P49" s="182">
        <v>110.70805537219532</v>
      </c>
      <c r="U49" s="219">
        <f t="shared" si="4"/>
        <v>5.978569774689056</v>
      </c>
      <c r="X49" s="255">
        <v>113.10761672175605</v>
      </c>
      <c r="Y49" s="248">
        <f t="shared" si="5"/>
        <v>5.774212147329126</v>
      </c>
    </row>
    <row r="50" spans="1:25" ht="24" customHeight="1">
      <c r="A50" s="177" t="s">
        <v>109</v>
      </c>
      <c r="B50" s="132" t="s">
        <v>55</v>
      </c>
      <c r="C50" s="91"/>
      <c r="D50" s="91"/>
      <c r="E50" s="93"/>
      <c r="F50" s="137">
        <v>84962</v>
      </c>
      <c r="G50" s="139"/>
      <c r="H50" s="137">
        <v>83687.57</v>
      </c>
      <c r="I50" s="140"/>
      <c r="J50" s="93">
        <v>738678.5700000001</v>
      </c>
      <c r="K50" s="182"/>
      <c r="L50" s="182">
        <f t="shared" si="0"/>
        <v>98.50000000000001</v>
      </c>
      <c r="M50" s="182"/>
      <c r="N50" s="182"/>
      <c r="O50" s="182"/>
      <c r="P50" s="182">
        <v>104.5721111240094</v>
      </c>
      <c r="U50" s="219">
        <f t="shared" si="4"/>
        <v>6.94527439568383</v>
      </c>
      <c r="X50" s="255">
        <v>88.38779697134567</v>
      </c>
      <c r="Y50" s="248">
        <f t="shared" si="5"/>
        <v>5.626498935717652</v>
      </c>
    </row>
    <row r="51" spans="1:25" ht="24" customHeight="1">
      <c r="A51" s="176" t="s">
        <v>98</v>
      </c>
      <c r="B51" s="132" t="s">
        <v>12</v>
      </c>
      <c r="C51" s="91"/>
      <c r="D51" s="91"/>
      <c r="E51" s="93">
        <v>19813</v>
      </c>
      <c r="F51" s="137">
        <v>62593</v>
      </c>
      <c r="G51" s="93">
        <v>20070.569</v>
      </c>
      <c r="H51" s="137">
        <v>63406.709</v>
      </c>
      <c r="I51" s="93">
        <v>694967.569</v>
      </c>
      <c r="J51" s="93">
        <v>676923.709</v>
      </c>
      <c r="K51" s="182">
        <f>G51/E51*100</f>
        <v>101.29999999999998</v>
      </c>
      <c r="L51" s="182">
        <f t="shared" si="0"/>
        <v>101.30000000000001</v>
      </c>
      <c r="M51" s="182"/>
      <c r="N51" s="182"/>
      <c r="O51" s="182">
        <v>249.2477634797329</v>
      </c>
      <c r="P51" s="182">
        <v>99.36509396711043</v>
      </c>
      <c r="U51" s="219">
        <f t="shared" si="4"/>
        <v>5.262155330024225</v>
      </c>
      <c r="X51" s="255">
        <v>94.34844608963546</v>
      </c>
      <c r="Y51" s="248">
        <f t="shared" si="5"/>
        <v>5.156113474701919</v>
      </c>
    </row>
    <row r="52" spans="1:25" ht="24" customHeight="1">
      <c r="A52" s="177" t="s">
        <v>73</v>
      </c>
      <c r="B52" s="132" t="s">
        <v>55</v>
      </c>
      <c r="C52" s="91"/>
      <c r="D52" s="91"/>
      <c r="E52" s="93"/>
      <c r="F52" s="137">
        <v>44527</v>
      </c>
      <c r="G52" s="138"/>
      <c r="H52" s="137">
        <v>44749.635</v>
      </c>
      <c r="I52" s="93"/>
      <c r="J52" s="93">
        <v>489937.635</v>
      </c>
      <c r="K52" s="182"/>
      <c r="L52" s="182">
        <f t="shared" si="0"/>
        <v>100.50000000000001</v>
      </c>
      <c r="M52" s="182"/>
      <c r="N52" s="182"/>
      <c r="O52" s="182"/>
      <c r="P52" s="182">
        <v>101.84860771861261</v>
      </c>
      <c r="U52" s="219">
        <f t="shared" si="4"/>
        <v>3.7137951810728516</v>
      </c>
      <c r="X52" s="255">
        <v>100.69208718205395</v>
      </c>
      <c r="Y52" s="248">
        <f t="shared" si="5"/>
        <v>3.731844531371098</v>
      </c>
    </row>
    <row r="53" spans="1:25" ht="24" customHeight="1">
      <c r="A53" s="178" t="s">
        <v>100</v>
      </c>
      <c r="B53" s="132" t="s">
        <v>12</v>
      </c>
      <c r="C53" s="91"/>
      <c r="D53" s="91"/>
      <c r="E53" s="93">
        <v>21220</v>
      </c>
      <c r="F53" s="137">
        <v>37438</v>
      </c>
      <c r="G53" s="93">
        <v>21283.66</v>
      </c>
      <c r="H53" s="137">
        <v>37550.314</v>
      </c>
      <c r="I53" s="93">
        <v>285418.66</v>
      </c>
      <c r="J53" s="93">
        <v>459693.314</v>
      </c>
      <c r="K53" s="182">
        <f>G53/E53*100</f>
        <v>100.29999999999998</v>
      </c>
      <c r="L53" s="182">
        <f t="shared" si="0"/>
        <v>100.29999999999998</v>
      </c>
      <c r="M53" s="182"/>
      <c r="N53" s="182"/>
      <c r="O53" s="182">
        <v>76.48406909377394</v>
      </c>
      <c r="P53" s="182">
        <v>98.2996319858012</v>
      </c>
      <c r="U53" s="219">
        <f t="shared" si="4"/>
        <v>3.1163198354796062</v>
      </c>
      <c r="X53" s="255">
        <v>97.82037710648918</v>
      </c>
      <c r="Y53" s="248">
        <f t="shared" si="5"/>
        <v>3.5014741824411124</v>
      </c>
    </row>
    <row r="54" spans="1:25" ht="24" customHeight="1">
      <c r="A54" s="179" t="s">
        <v>107</v>
      </c>
      <c r="B54" s="132" t="s">
        <v>55</v>
      </c>
      <c r="C54" s="91"/>
      <c r="D54" s="91"/>
      <c r="E54" s="93"/>
      <c r="F54" s="137">
        <v>52737</v>
      </c>
      <c r="G54" s="138"/>
      <c r="H54" s="137">
        <v>53686.265999999996</v>
      </c>
      <c r="I54" s="140"/>
      <c r="J54" s="93">
        <v>472499.266</v>
      </c>
      <c r="K54" s="182"/>
      <c r="L54" s="182">
        <f t="shared" si="0"/>
        <v>101.8</v>
      </c>
      <c r="M54" s="182"/>
      <c r="N54" s="182"/>
      <c r="O54" s="182"/>
      <c r="P54" s="182">
        <v>132.3709041296985</v>
      </c>
      <c r="U54" s="219">
        <f t="shared" si="4"/>
        <v>4.455450775421861</v>
      </c>
      <c r="X54" s="255">
        <v>106.20389906039911</v>
      </c>
      <c r="Y54" s="248">
        <f t="shared" si="5"/>
        <v>3.5990168460909473</v>
      </c>
    </row>
    <row r="55" spans="1:25" ht="24" customHeight="1">
      <c r="A55" s="177" t="s">
        <v>82</v>
      </c>
      <c r="B55" s="132" t="s">
        <v>12</v>
      </c>
      <c r="C55" s="91"/>
      <c r="D55" s="91"/>
      <c r="E55" s="93">
        <v>113984</v>
      </c>
      <c r="F55" s="137">
        <v>24143</v>
      </c>
      <c r="G55" s="93">
        <v>284554</v>
      </c>
      <c r="H55" s="137">
        <v>60271.5049656092</v>
      </c>
      <c r="I55" s="93">
        <v>1979704</v>
      </c>
      <c r="J55" s="93">
        <v>402328.5049656092</v>
      </c>
      <c r="K55" s="182">
        <f>G55/E55*100</f>
        <v>249.64380965749578</v>
      </c>
      <c r="L55" s="182">
        <f t="shared" si="0"/>
        <v>249.64380965749578</v>
      </c>
      <c r="M55" s="182"/>
      <c r="N55" s="182"/>
      <c r="O55" s="182">
        <v>106.36244607880272</v>
      </c>
      <c r="P55" s="182">
        <v>95.05986125164132</v>
      </c>
      <c r="U55" s="219">
        <f t="shared" si="4"/>
        <v>5.001963137739289</v>
      </c>
      <c r="X55" s="255">
        <v>174.43359100300714</v>
      </c>
      <c r="Y55" s="248">
        <f t="shared" si="5"/>
        <v>3.0645276537504986</v>
      </c>
    </row>
    <row r="56" spans="1:25" ht="24" customHeight="1">
      <c r="A56" s="176" t="s">
        <v>92</v>
      </c>
      <c r="B56" s="132" t="s">
        <v>12</v>
      </c>
      <c r="C56" s="91"/>
      <c r="D56" s="91"/>
      <c r="E56" s="93">
        <v>18673</v>
      </c>
      <c r="F56" s="137">
        <v>35187</v>
      </c>
      <c r="G56" s="93">
        <v>18710.346</v>
      </c>
      <c r="H56" s="137">
        <v>35257.374</v>
      </c>
      <c r="I56" s="93">
        <v>219315.346</v>
      </c>
      <c r="J56" s="93">
        <v>396896.374</v>
      </c>
      <c r="K56" s="182">
        <f>G56/E56*100</f>
        <v>100.2</v>
      </c>
      <c r="L56" s="182">
        <f t="shared" si="0"/>
        <v>100.2</v>
      </c>
      <c r="M56" s="182"/>
      <c r="N56" s="182"/>
      <c r="O56" s="182">
        <v>95.23938283292368</v>
      </c>
      <c r="P56" s="182">
        <v>90.98578554759318</v>
      </c>
      <c r="U56" s="219">
        <f t="shared" si="4"/>
        <v>2.926027567788726</v>
      </c>
      <c r="X56" s="255">
        <v>96.66558810788096</v>
      </c>
      <c r="Y56" s="248">
        <f t="shared" si="5"/>
        <v>3.0231512278760095</v>
      </c>
    </row>
    <row r="57" spans="1:25" ht="24" customHeight="1">
      <c r="A57" s="177" t="s">
        <v>64</v>
      </c>
      <c r="B57" s="132" t="s">
        <v>55</v>
      </c>
      <c r="C57" s="91"/>
      <c r="D57" s="91"/>
      <c r="E57" s="93"/>
      <c r="F57" s="137">
        <v>24593</v>
      </c>
      <c r="G57" s="138"/>
      <c r="H57" s="137">
        <v>24715.965</v>
      </c>
      <c r="I57" s="93"/>
      <c r="J57" s="93">
        <v>268654.965</v>
      </c>
      <c r="K57" s="182"/>
      <c r="L57" s="182">
        <f t="shared" si="0"/>
        <v>100.50000000000001</v>
      </c>
      <c r="M57" s="182"/>
      <c r="N57" s="182"/>
      <c r="O57" s="182"/>
      <c r="P57" s="182">
        <v>116.28876869935591</v>
      </c>
      <c r="U57" s="219">
        <f t="shared" si="4"/>
        <v>2.0511906233998394</v>
      </c>
      <c r="X57" s="255">
        <v>106.11485736986839</v>
      </c>
      <c r="Y57" s="248">
        <f t="shared" si="5"/>
        <v>2.0463391467384286</v>
      </c>
    </row>
    <row r="58" spans="1:25" ht="24" customHeight="1">
      <c r="A58" s="177" t="s">
        <v>76</v>
      </c>
      <c r="B58" s="132" t="s">
        <v>55</v>
      </c>
      <c r="C58" s="91"/>
      <c r="D58" s="91"/>
      <c r="E58" s="93"/>
      <c r="F58" s="137">
        <v>21182</v>
      </c>
      <c r="G58" s="138"/>
      <c r="H58" s="137">
        <v>21118.453999999998</v>
      </c>
      <c r="I58" s="93"/>
      <c r="J58" s="93">
        <v>223516.454</v>
      </c>
      <c r="K58" s="182"/>
      <c r="L58" s="182">
        <f t="shared" si="0"/>
        <v>99.69999999999999</v>
      </c>
      <c r="M58" s="182"/>
      <c r="N58" s="182"/>
      <c r="O58" s="182"/>
      <c r="P58" s="182">
        <v>104.47672186931788</v>
      </c>
      <c r="U58" s="219">
        <f t="shared" si="4"/>
        <v>1.7526313387116716</v>
      </c>
      <c r="X58" s="255">
        <v>100.02120494580117</v>
      </c>
      <c r="Y58" s="248">
        <f t="shared" si="5"/>
        <v>1.7025200697867588</v>
      </c>
    </row>
    <row r="59" spans="1:25" ht="24" customHeight="1">
      <c r="A59" s="177" t="s">
        <v>102</v>
      </c>
      <c r="B59" s="132" t="s">
        <v>55</v>
      </c>
      <c r="C59" s="91"/>
      <c r="D59" s="91"/>
      <c r="E59" s="93"/>
      <c r="F59" s="137">
        <v>17519</v>
      </c>
      <c r="G59" s="138"/>
      <c r="H59" s="137">
        <v>17606.595</v>
      </c>
      <c r="I59" s="93"/>
      <c r="J59" s="93">
        <v>217371.595</v>
      </c>
      <c r="K59" s="182"/>
      <c r="L59" s="182">
        <f t="shared" si="0"/>
        <v>100.50000000000001</v>
      </c>
      <c r="M59" s="182"/>
      <c r="N59" s="182"/>
      <c r="O59" s="182"/>
      <c r="P59" s="182">
        <v>107.83979431360973</v>
      </c>
      <c r="U59" s="219">
        <f t="shared" si="4"/>
        <v>1.4611803574733373</v>
      </c>
      <c r="X59" s="255">
        <v>178.48457447107256</v>
      </c>
      <c r="Y59" s="248">
        <f t="shared" si="5"/>
        <v>1.6557148096536065</v>
      </c>
    </row>
    <row r="60" spans="1:25" ht="24" customHeight="1">
      <c r="A60" s="176" t="s">
        <v>103</v>
      </c>
      <c r="B60" s="132" t="s">
        <v>55</v>
      </c>
      <c r="C60" s="91"/>
      <c r="D60" s="91"/>
      <c r="E60" s="93"/>
      <c r="F60" s="137">
        <v>15655</v>
      </c>
      <c r="G60" s="139"/>
      <c r="H60" s="137">
        <v>15733.275</v>
      </c>
      <c r="I60" s="140"/>
      <c r="J60" s="93">
        <v>189928.275</v>
      </c>
      <c r="K60" s="182"/>
      <c r="L60" s="182">
        <f t="shared" si="0"/>
        <v>100.49999999999999</v>
      </c>
      <c r="M60" s="182"/>
      <c r="N60" s="182"/>
      <c r="O60" s="182"/>
      <c r="P60" s="182">
        <v>102.86187203483459</v>
      </c>
      <c r="U60" s="219">
        <f t="shared" si="4"/>
        <v>1.3057125689962379</v>
      </c>
      <c r="X60" s="255">
        <v>104.18162758753644</v>
      </c>
      <c r="Y60" s="248">
        <f t="shared" si="5"/>
        <v>1.4466796256864325</v>
      </c>
    </row>
    <row r="61" spans="1:25" ht="24" customHeight="1">
      <c r="A61" s="177" t="s">
        <v>110</v>
      </c>
      <c r="B61" s="132" t="s">
        <v>52</v>
      </c>
      <c r="C61" s="91"/>
      <c r="D61" s="91"/>
      <c r="E61" s="93">
        <v>436</v>
      </c>
      <c r="F61" s="137">
        <v>8433</v>
      </c>
      <c r="G61" s="93">
        <v>439.92400000000004</v>
      </c>
      <c r="H61" s="137">
        <v>8508.897</v>
      </c>
      <c r="I61" s="93">
        <v>5138.924</v>
      </c>
      <c r="J61" s="93">
        <v>111725.897</v>
      </c>
      <c r="K61" s="182">
        <f>G61/E61*100</f>
        <v>100.9</v>
      </c>
      <c r="L61" s="182">
        <f t="shared" si="0"/>
        <v>100.9</v>
      </c>
      <c r="M61" s="182"/>
      <c r="N61" s="182"/>
      <c r="O61" s="182">
        <v>65.57259155289013</v>
      </c>
      <c r="P61" s="182">
        <v>39.238140676692254</v>
      </c>
      <c r="U61" s="219">
        <f t="shared" si="4"/>
        <v>0.7061577301098713</v>
      </c>
      <c r="X61" s="255">
        <v>233.90044843098013</v>
      </c>
      <c r="Y61" s="248">
        <f t="shared" si="5"/>
        <v>0.851013777971926</v>
      </c>
    </row>
    <row r="62" spans="1:25" ht="24" customHeight="1">
      <c r="A62" s="176" t="s">
        <v>104</v>
      </c>
      <c r="B62" s="132" t="s">
        <v>12</v>
      </c>
      <c r="C62" s="91"/>
      <c r="D62" s="91"/>
      <c r="E62" s="93">
        <v>16992</v>
      </c>
      <c r="F62" s="137">
        <v>9668</v>
      </c>
      <c r="G62" s="93">
        <v>17076.96</v>
      </c>
      <c r="H62" s="137">
        <v>9716.34</v>
      </c>
      <c r="I62" s="93">
        <v>500794.96</v>
      </c>
      <c r="J62" s="93">
        <v>107787.34</v>
      </c>
      <c r="K62" s="182">
        <f>G62/E62*100</f>
        <v>100.49999999999999</v>
      </c>
      <c r="L62" s="182">
        <f t="shared" si="0"/>
        <v>100.50000000000001</v>
      </c>
      <c r="M62" s="182"/>
      <c r="N62" s="182"/>
      <c r="O62" s="182">
        <v>76.16583879082472</v>
      </c>
      <c r="P62" s="182">
        <v>89.92544822005122</v>
      </c>
      <c r="U62" s="219">
        <f t="shared" si="4"/>
        <v>0.8063640445260702</v>
      </c>
      <c r="X62" s="255">
        <v>108.9799307651179</v>
      </c>
      <c r="Y62" s="248">
        <f t="shared" si="5"/>
        <v>0.8210138731841599</v>
      </c>
    </row>
    <row r="63" spans="1:25" ht="24" customHeight="1">
      <c r="A63" s="177" t="s">
        <v>74</v>
      </c>
      <c r="B63" s="132" t="s">
        <v>55</v>
      </c>
      <c r="C63" s="91"/>
      <c r="D63" s="91"/>
      <c r="E63" s="93"/>
      <c r="F63" s="137">
        <v>5350</v>
      </c>
      <c r="G63" s="138"/>
      <c r="H63" s="137">
        <v>5376.75</v>
      </c>
      <c r="I63" s="93"/>
      <c r="J63" s="93">
        <v>93774.75</v>
      </c>
      <c r="K63" s="182"/>
      <c r="L63" s="182">
        <f t="shared" si="0"/>
        <v>100.49999999999999</v>
      </c>
      <c r="M63" s="182"/>
      <c r="N63" s="182"/>
      <c r="O63" s="182"/>
      <c r="P63" s="182">
        <v>118.90842346854673</v>
      </c>
      <c r="U63" s="219">
        <f t="shared" si="4"/>
        <v>0.44621924267836943</v>
      </c>
      <c r="X63" s="255">
        <v>192.77814279456857</v>
      </c>
      <c r="Y63" s="248">
        <f t="shared" si="5"/>
        <v>0.714280273586641</v>
      </c>
    </row>
    <row r="64" spans="1:25" ht="24" customHeight="1">
      <c r="A64" s="177" t="s">
        <v>71</v>
      </c>
      <c r="B64" s="132" t="s">
        <v>55</v>
      </c>
      <c r="C64" s="91"/>
      <c r="D64" s="91"/>
      <c r="E64" s="93"/>
      <c r="F64" s="137">
        <v>7194</v>
      </c>
      <c r="G64" s="138"/>
      <c r="H64" s="137">
        <v>8660</v>
      </c>
      <c r="I64" s="93"/>
      <c r="J64" s="93">
        <v>81483</v>
      </c>
      <c r="K64" s="182"/>
      <c r="L64" s="182">
        <f t="shared" si="0"/>
        <v>120.37809285515708</v>
      </c>
      <c r="M64" s="182"/>
      <c r="N64" s="182"/>
      <c r="O64" s="182"/>
      <c r="P64" s="182">
        <v>71.60633782394348</v>
      </c>
      <c r="U64" s="219">
        <f t="shared" si="4"/>
        <v>0.7186978456492638</v>
      </c>
      <c r="X64" s="255">
        <v>95.8888023346394</v>
      </c>
      <c r="Y64" s="248">
        <f t="shared" si="5"/>
        <v>0.6206542756196126</v>
      </c>
    </row>
    <row r="65" spans="1:25" ht="24" customHeight="1">
      <c r="A65" s="177" t="s">
        <v>72</v>
      </c>
      <c r="B65" s="132" t="s">
        <v>12</v>
      </c>
      <c r="C65" s="91"/>
      <c r="D65" s="91"/>
      <c r="E65" s="93">
        <v>3492</v>
      </c>
      <c r="F65" s="137">
        <v>1600</v>
      </c>
      <c r="G65" s="93">
        <v>4509</v>
      </c>
      <c r="H65" s="137">
        <v>2065.9793814432987</v>
      </c>
      <c r="I65" s="93">
        <v>130476</v>
      </c>
      <c r="J65" s="93">
        <v>54659.9793814433</v>
      </c>
      <c r="K65" s="182">
        <f>G65/E65*100</f>
        <v>129.1237113402062</v>
      </c>
      <c r="L65" s="182">
        <f t="shared" si="0"/>
        <v>129.12371134020617</v>
      </c>
      <c r="M65" s="182"/>
      <c r="N65" s="182"/>
      <c r="O65" s="182">
        <v>76.16723680984461</v>
      </c>
      <c r="P65" s="182">
        <v>62.06212957596914</v>
      </c>
      <c r="U65" s="219">
        <f t="shared" si="4"/>
        <v>0.17145668944562326</v>
      </c>
      <c r="X65" s="255">
        <v>49.362323789831144</v>
      </c>
      <c r="Y65" s="248">
        <f t="shared" si="5"/>
        <v>0.41634389883009526</v>
      </c>
    </row>
    <row r="66" spans="1:25" ht="24" customHeight="1">
      <c r="A66" s="180" t="s">
        <v>75</v>
      </c>
      <c r="B66" s="133" t="s">
        <v>12</v>
      </c>
      <c r="C66" s="134"/>
      <c r="D66" s="134"/>
      <c r="E66" s="107">
        <v>14843</v>
      </c>
      <c r="F66" s="142">
        <v>3177</v>
      </c>
      <c r="G66" s="107">
        <v>15035.958999999999</v>
      </c>
      <c r="H66" s="142">
        <v>3218.301</v>
      </c>
      <c r="I66" s="93">
        <v>201097.959</v>
      </c>
      <c r="J66" s="93">
        <v>47329.301</v>
      </c>
      <c r="K66" s="182">
        <f>G66/E66*100</f>
        <v>101.29999999999998</v>
      </c>
      <c r="L66" s="182">
        <f t="shared" si="0"/>
        <v>101.29999999999998</v>
      </c>
      <c r="M66" s="182"/>
      <c r="N66" s="182"/>
      <c r="O66" s="182">
        <v>98.7230958423949</v>
      </c>
      <c r="P66" s="182">
        <v>80.99201019901776</v>
      </c>
      <c r="U66" s="219">
        <f t="shared" si="4"/>
        <v>0.26708845211903826</v>
      </c>
      <c r="X66" s="255">
        <v>99.5764119400535</v>
      </c>
      <c r="Y66" s="248">
        <f t="shared" si="5"/>
        <v>0.3605062777234222</v>
      </c>
    </row>
    <row r="67" spans="1:25" ht="24" customHeight="1">
      <c r="A67" s="249" t="s">
        <v>101</v>
      </c>
      <c r="B67" s="135" t="s">
        <v>55</v>
      </c>
      <c r="C67" s="136"/>
      <c r="D67" s="136"/>
      <c r="E67" s="143"/>
      <c r="F67" s="144">
        <v>43116</v>
      </c>
      <c r="G67" s="250"/>
      <c r="H67" s="144">
        <v>43331.58</v>
      </c>
      <c r="I67" s="143"/>
      <c r="J67" s="143">
        <v>416841.58</v>
      </c>
      <c r="K67" s="185"/>
      <c r="L67" s="185">
        <f t="shared" si="0"/>
        <v>100.50000000000001</v>
      </c>
      <c r="M67" s="185"/>
      <c r="N67" s="185"/>
      <c r="O67" s="185"/>
      <c r="P67" s="185">
        <v>147.26782547253137</v>
      </c>
      <c r="U67" s="219">
        <f t="shared" si="4"/>
        <v>3.5961100686580516</v>
      </c>
      <c r="X67" s="255">
        <v>124.58144674566833</v>
      </c>
      <c r="Y67" s="248">
        <f t="shared" si="5"/>
        <v>3.175073437195916</v>
      </c>
    </row>
    <row r="68" spans="1:25" ht="16.5">
      <c r="A68" s="66" t="s">
        <v>134</v>
      </c>
      <c r="B68" s="66"/>
      <c r="C68" s="66"/>
      <c r="E68" s="94"/>
      <c r="F68" s="94"/>
      <c r="G68" s="94"/>
      <c r="H68" s="94"/>
      <c r="I68" s="94"/>
      <c r="J68" s="94"/>
      <c r="K68" s="94"/>
      <c r="L68" s="94"/>
      <c r="M68" s="95"/>
      <c r="N68" s="96"/>
      <c r="O68" s="53"/>
      <c r="P68" s="53"/>
      <c r="Y68" s="203"/>
    </row>
    <row r="69" spans="1:13" ht="16.5">
      <c r="A69" s="57" t="s">
        <v>133</v>
      </c>
      <c r="B69" s="56"/>
      <c r="E69" s="57"/>
      <c r="F69" s="57"/>
      <c r="G69" s="57"/>
      <c r="H69" s="57"/>
      <c r="I69" s="57"/>
      <c r="J69" s="57"/>
      <c r="K69" s="57"/>
      <c r="L69" s="57"/>
      <c r="M69" s="55"/>
    </row>
  </sheetData>
  <sheetProtection/>
  <mergeCells count="24">
    <mergeCell ref="K7:L7"/>
    <mergeCell ref="M7:N7"/>
    <mergeCell ref="O7:P7"/>
    <mergeCell ref="B4:B6"/>
    <mergeCell ref="C4:D6"/>
    <mergeCell ref="E5:E6"/>
    <mergeCell ref="F5:F6"/>
    <mergeCell ref="G5:G6"/>
    <mergeCell ref="G4:H4"/>
    <mergeCell ref="O5:P5"/>
    <mergeCell ref="C7:D7"/>
    <mergeCell ref="E7:F7"/>
    <mergeCell ref="G7:H7"/>
    <mergeCell ref="I7:J7"/>
    <mergeCell ref="I5:I6"/>
    <mergeCell ref="J5:J6"/>
    <mergeCell ref="K5:L5"/>
    <mergeCell ref="M5:N5"/>
    <mergeCell ref="E4:F4"/>
    <mergeCell ref="H5:H6"/>
    <mergeCell ref="A4:A6"/>
    <mergeCell ref="A2:P2"/>
    <mergeCell ref="K4:P4"/>
    <mergeCell ref="I4:J4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6">
      <selection activeCell="D6" sqref="D6"/>
    </sheetView>
  </sheetViews>
  <sheetFormatPr defaultColWidth="8.72265625" defaultRowHeight="16.5"/>
  <cols>
    <col min="1" max="1" width="4.90625" style="376" customWidth="1"/>
    <col min="2" max="2" width="15.18359375" style="376" customWidth="1"/>
    <col min="3" max="3" width="39.90625" style="376" customWidth="1"/>
    <col min="4" max="4" width="14.8125" style="376" customWidth="1"/>
    <col min="5" max="16384" width="8.90625" style="376" customWidth="1"/>
  </cols>
  <sheetData>
    <row r="1" spans="1:3" ht="16.5">
      <c r="A1" s="379" t="s">
        <v>7</v>
      </c>
      <c r="B1" s="379"/>
      <c r="C1" s="379"/>
    </row>
    <row r="2" spans="1:6" ht="18.75">
      <c r="A2" s="378" t="s">
        <v>239</v>
      </c>
      <c r="B2" s="378"/>
      <c r="C2" s="378"/>
      <c r="D2" s="378"/>
      <c r="E2" s="378"/>
      <c r="F2" s="378"/>
    </row>
    <row r="3" spans="1:6" ht="18.75">
      <c r="A3" s="378" t="s">
        <v>244</v>
      </c>
      <c r="B3" s="378"/>
      <c r="C3" s="378"/>
      <c r="D3" s="378"/>
      <c r="E3" s="378"/>
      <c r="F3" s="378"/>
    </row>
    <row r="4" spans="4:5" ht="16.5">
      <c r="D4" s="377" t="s">
        <v>243</v>
      </c>
      <c r="E4" s="377"/>
    </row>
    <row r="5" spans="1:5" ht="34.5" customHeight="1">
      <c r="A5" s="380" t="s">
        <v>34</v>
      </c>
      <c r="B5" s="380" t="s">
        <v>178</v>
      </c>
      <c r="C5" s="380" t="s">
        <v>240</v>
      </c>
      <c r="D5" s="380" t="s">
        <v>241</v>
      </c>
      <c r="E5" s="397" t="s">
        <v>242</v>
      </c>
    </row>
    <row r="6" spans="1:5" ht="21.75" customHeight="1">
      <c r="A6" s="381">
        <v>1</v>
      </c>
      <c r="B6" s="382" t="s">
        <v>179</v>
      </c>
      <c r="C6" s="383" t="s">
        <v>180</v>
      </c>
      <c r="D6" s="393">
        <v>870121934.8347082</v>
      </c>
      <c r="E6" s="398"/>
    </row>
    <row r="7" spans="1:5" ht="21.75" customHeight="1">
      <c r="A7" s="384">
        <f>A6+1</f>
        <v>2</v>
      </c>
      <c r="B7" s="385" t="s">
        <v>181</v>
      </c>
      <c r="C7" s="386" t="s">
        <v>182</v>
      </c>
      <c r="D7" s="394">
        <v>660377399.567454</v>
      </c>
      <c r="E7" s="399"/>
    </row>
    <row r="8" spans="1:5" ht="21.75" customHeight="1">
      <c r="A8" s="384">
        <f aca="true" t="shared" si="0" ref="A8:A35">A7+1</f>
        <v>3</v>
      </c>
      <c r="B8" s="385" t="s">
        <v>183</v>
      </c>
      <c r="C8" s="386" t="s">
        <v>184</v>
      </c>
      <c r="D8" s="394">
        <v>520940515.46731836</v>
      </c>
      <c r="E8" s="399"/>
    </row>
    <row r="9" spans="1:5" ht="21.75" customHeight="1">
      <c r="A9" s="384">
        <f t="shared" si="0"/>
        <v>4</v>
      </c>
      <c r="B9" s="385" t="s">
        <v>185</v>
      </c>
      <c r="C9" s="386" t="s">
        <v>186</v>
      </c>
      <c r="D9" s="394">
        <v>509946657.0652188</v>
      </c>
      <c r="E9" s="399"/>
    </row>
    <row r="10" spans="1:5" ht="21.75" customHeight="1">
      <c r="A10" s="384">
        <f t="shared" si="0"/>
        <v>5</v>
      </c>
      <c r="B10" s="385" t="s">
        <v>187</v>
      </c>
      <c r="C10" s="386" t="s">
        <v>188</v>
      </c>
      <c r="D10" s="394">
        <v>357839877.93267846</v>
      </c>
      <c r="E10" s="399"/>
    </row>
    <row r="11" spans="1:5" ht="21.75" customHeight="1">
      <c r="A11" s="384">
        <f t="shared" si="0"/>
        <v>6</v>
      </c>
      <c r="B11" s="385" t="s">
        <v>189</v>
      </c>
      <c r="C11" s="386" t="s">
        <v>190</v>
      </c>
      <c r="D11" s="394">
        <v>348047734.1804003</v>
      </c>
      <c r="E11" s="399"/>
    </row>
    <row r="12" spans="1:5" ht="21.75" customHeight="1">
      <c r="A12" s="384">
        <f t="shared" si="0"/>
        <v>7</v>
      </c>
      <c r="B12" s="385" t="s">
        <v>191</v>
      </c>
      <c r="C12" s="386" t="s">
        <v>192</v>
      </c>
      <c r="D12" s="394">
        <v>318103035.92609364</v>
      </c>
      <c r="E12" s="399"/>
    </row>
    <row r="13" spans="1:5" ht="21.75" customHeight="1">
      <c r="A13" s="384">
        <f t="shared" si="0"/>
        <v>8</v>
      </c>
      <c r="B13" s="385" t="s">
        <v>193</v>
      </c>
      <c r="C13" s="386" t="s">
        <v>194</v>
      </c>
      <c r="D13" s="394">
        <v>274024221.1877996</v>
      </c>
      <c r="E13" s="399"/>
    </row>
    <row r="14" spans="1:5" ht="21.75" customHeight="1">
      <c r="A14" s="384">
        <f t="shared" si="0"/>
        <v>9</v>
      </c>
      <c r="B14" s="385" t="s">
        <v>195</v>
      </c>
      <c r="C14" s="386" t="s">
        <v>196</v>
      </c>
      <c r="D14" s="394">
        <v>266081926.61840585</v>
      </c>
      <c r="E14" s="399"/>
    </row>
    <row r="15" spans="1:5" ht="21.75" customHeight="1">
      <c r="A15" s="384">
        <f t="shared" si="0"/>
        <v>10</v>
      </c>
      <c r="B15" s="385" t="s">
        <v>197</v>
      </c>
      <c r="C15" s="386" t="s">
        <v>198</v>
      </c>
      <c r="D15" s="394">
        <v>264763877.98710006</v>
      </c>
      <c r="E15" s="399"/>
    </row>
    <row r="16" spans="1:5" ht="21.75" customHeight="1">
      <c r="A16" s="384">
        <f t="shared" si="0"/>
        <v>11</v>
      </c>
      <c r="B16" s="385" t="s">
        <v>199</v>
      </c>
      <c r="C16" s="386" t="s">
        <v>200</v>
      </c>
      <c r="D16" s="394">
        <v>209520548.05910027</v>
      </c>
      <c r="E16" s="399"/>
    </row>
    <row r="17" spans="1:5" ht="21.75" customHeight="1">
      <c r="A17" s="384">
        <f t="shared" si="0"/>
        <v>12</v>
      </c>
      <c r="B17" s="385" t="s">
        <v>201</v>
      </c>
      <c r="C17" s="386" t="s">
        <v>202</v>
      </c>
      <c r="D17" s="394">
        <v>182164075.20350692</v>
      </c>
      <c r="E17" s="399"/>
    </row>
    <row r="18" spans="1:5" ht="21.75" customHeight="1">
      <c r="A18" s="384">
        <f t="shared" si="0"/>
        <v>13</v>
      </c>
      <c r="B18" s="385" t="s">
        <v>203</v>
      </c>
      <c r="C18" s="386" t="s">
        <v>204</v>
      </c>
      <c r="D18" s="394">
        <v>162588186.20620006</v>
      </c>
      <c r="E18" s="399"/>
    </row>
    <row r="19" spans="1:5" ht="21.75" customHeight="1">
      <c r="A19" s="384">
        <f t="shared" si="0"/>
        <v>14</v>
      </c>
      <c r="B19" s="385" t="s">
        <v>205</v>
      </c>
      <c r="C19" s="386" t="s">
        <v>206</v>
      </c>
      <c r="D19" s="394">
        <v>161330473.95579994</v>
      </c>
      <c r="E19" s="399"/>
    </row>
    <row r="20" spans="1:5" ht="21.75" customHeight="1">
      <c r="A20" s="384">
        <f t="shared" si="0"/>
        <v>15</v>
      </c>
      <c r="B20" s="385" t="s">
        <v>207</v>
      </c>
      <c r="C20" s="386" t="s">
        <v>208</v>
      </c>
      <c r="D20" s="394">
        <v>159533486.87230003</v>
      </c>
      <c r="E20" s="399"/>
    </row>
    <row r="21" spans="1:5" ht="21.75" customHeight="1">
      <c r="A21" s="384">
        <f t="shared" si="0"/>
        <v>16</v>
      </c>
      <c r="B21" s="385" t="s">
        <v>209</v>
      </c>
      <c r="C21" s="386" t="s">
        <v>210</v>
      </c>
      <c r="D21" s="394">
        <v>156406260.64839908</v>
      </c>
      <c r="E21" s="399"/>
    </row>
    <row r="22" spans="1:5" ht="21.75" customHeight="1">
      <c r="A22" s="384">
        <f t="shared" si="0"/>
        <v>17</v>
      </c>
      <c r="B22" s="385" t="s">
        <v>211</v>
      </c>
      <c r="C22" s="386" t="s">
        <v>212</v>
      </c>
      <c r="D22" s="394">
        <v>156340271.82260126</v>
      </c>
      <c r="E22" s="399"/>
    </row>
    <row r="23" spans="1:5" ht="21.75" customHeight="1">
      <c r="A23" s="384">
        <f t="shared" si="0"/>
        <v>18</v>
      </c>
      <c r="B23" s="385" t="s">
        <v>213</v>
      </c>
      <c r="C23" s="386" t="s">
        <v>214</v>
      </c>
      <c r="D23" s="394">
        <v>155889245.03979948</v>
      </c>
      <c r="E23" s="399"/>
    </row>
    <row r="24" spans="1:5" ht="21.75" customHeight="1">
      <c r="A24" s="384">
        <f t="shared" si="0"/>
        <v>19</v>
      </c>
      <c r="B24" s="385" t="s">
        <v>215</v>
      </c>
      <c r="C24" s="386" t="s">
        <v>216</v>
      </c>
      <c r="D24" s="394">
        <v>149992910.114</v>
      </c>
      <c r="E24" s="399"/>
    </row>
    <row r="25" spans="1:5" ht="21.75" customHeight="1">
      <c r="A25" s="384">
        <f t="shared" si="0"/>
        <v>20</v>
      </c>
      <c r="B25" s="385" t="s">
        <v>217</v>
      </c>
      <c r="C25" s="386" t="s">
        <v>218</v>
      </c>
      <c r="D25" s="394">
        <v>140353937.30690014</v>
      </c>
      <c r="E25" s="399"/>
    </row>
    <row r="26" spans="1:5" ht="21.75" customHeight="1">
      <c r="A26" s="384">
        <f t="shared" si="0"/>
        <v>21</v>
      </c>
      <c r="B26" s="385" t="s">
        <v>219</v>
      </c>
      <c r="C26" s="386" t="s">
        <v>220</v>
      </c>
      <c r="D26" s="394">
        <v>140042812.29500043</v>
      </c>
      <c r="E26" s="399"/>
    </row>
    <row r="27" spans="1:5" ht="21.75" customHeight="1">
      <c r="A27" s="384">
        <f t="shared" si="0"/>
        <v>22</v>
      </c>
      <c r="B27" s="385" t="s">
        <v>221</v>
      </c>
      <c r="C27" s="386" t="s">
        <v>222</v>
      </c>
      <c r="D27" s="394">
        <v>138808316.72950011</v>
      </c>
      <c r="E27" s="399"/>
    </row>
    <row r="28" spans="1:5" ht="21.75" customHeight="1">
      <c r="A28" s="384">
        <f t="shared" si="0"/>
        <v>23</v>
      </c>
      <c r="B28" s="385" t="s">
        <v>223</v>
      </c>
      <c r="C28" s="386" t="s">
        <v>224</v>
      </c>
      <c r="D28" s="394">
        <v>134871308.88209948</v>
      </c>
      <c r="E28" s="399"/>
    </row>
    <row r="29" spans="1:5" ht="21.75" customHeight="1">
      <c r="A29" s="384">
        <f t="shared" si="0"/>
        <v>24</v>
      </c>
      <c r="B29" s="385" t="s">
        <v>225</v>
      </c>
      <c r="C29" s="386" t="s">
        <v>226</v>
      </c>
      <c r="D29" s="394">
        <v>134297321.14370054</v>
      </c>
      <c r="E29" s="399"/>
    </row>
    <row r="30" spans="1:5" ht="21.75" customHeight="1">
      <c r="A30" s="384">
        <f t="shared" si="0"/>
        <v>25</v>
      </c>
      <c r="B30" s="385" t="s">
        <v>227</v>
      </c>
      <c r="C30" s="386" t="s">
        <v>228</v>
      </c>
      <c r="D30" s="394">
        <v>128320702.63479981</v>
      </c>
      <c r="E30" s="399"/>
    </row>
    <row r="31" spans="1:5" ht="21.75" customHeight="1">
      <c r="A31" s="384">
        <f t="shared" si="0"/>
        <v>26</v>
      </c>
      <c r="B31" s="385" t="s">
        <v>229</v>
      </c>
      <c r="C31" s="386" t="s">
        <v>230</v>
      </c>
      <c r="D31" s="394">
        <v>125085575.524</v>
      </c>
      <c r="E31" s="399"/>
    </row>
    <row r="32" spans="1:5" ht="21.75" customHeight="1">
      <c r="A32" s="384">
        <f t="shared" si="0"/>
        <v>27</v>
      </c>
      <c r="B32" s="385" t="s">
        <v>231</v>
      </c>
      <c r="C32" s="386" t="s">
        <v>232</v>
      </c>
      <c r="D32" s="394">
        <v>119280572.81809993</v>
      </c>
      <c r="E32" s="399"/>
    </row>
    <row r="33" spans="1:5" ht="21.75" customHeight="1">
      <c r="A33" s="384">
        <f t="shared" si="0"/>
        <v>28</v>
      </c>
      <c r="B33" s="385" t="s">
        <v>233</v>
      </c>
      <c r="C33" s="386" t="s">
        <v>234</v>
      </c>
      <c r="D33" s="394">
        <v>117405373.21849965</v>
      </c>
      <c r="E33" s="399"/>
    </row>
    <row r="34" spans="1:5" ht="21.75" customHeight="1">
      <c r="A34" s="384">
        <f t="shared" si="0"/>
        <v>29</v>
      </c>
      <c r="B34" s="385" t="s">
        <v>235</v>
      </c>
      <c r="C34" s="386" t="s">
        <v>236</v>
      </c>
      <c r="D34" s="394">
        <v>114544887.62560005</v>
      </c>
      <c r="E34" s="399"/>
    </row>
    <row r="35" spans="1:5" ht="21.75" customHeight="1">
      <c r="A35" s="387">
        <f t="shared" si="0"/>
        <v>30</v>
      </c>
      <c r="B35" s="388" t="s">
        <v>237</v>
      </c>
      <c r="C35" s="389" t="s">
        <v>238</v>
      </c>
      <c r="D35" s="395">
        <v>108082771.70209952</v>
      </c>
      <c r="E35" s="400"/>
    </row>
    <row r="36" spans="1:5" ht="24" customHeight="1">
      <c r="A36" s="390" t="s">
        <v>284</v>
      </c>
      <c r="B36" s="391" t="s">
        <v>284</v>
      </c>
      <c r="C36" s="392" t="s">
        <v>245</v>
      </c>
      <c r="D36" s="396">
        <f>SUM(D6:D35)</f>
        <v>7285106218.569182</v>
      </c>
      <c r="E36" s="401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 r:id="rId1"/>
  <ignoredErrors>
    <ignoredError sqref="B6:B3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zoomScalePageLayoutView="0" workbookViewId="0" topLeftCell="A1">
      <selection activeCell="A3" sqref="A3:F3"/>
    </sheetView>
  </sheetViews>
  <sheetFormatPr defaultColWidth="8.72265625" defaultRowHeight="16.5"/>
  <cols>
    <col min="1" max="1" width="4.90625" style="376" customWidth="1"/>
    <col min="2" max="2" width="15.18359375" style="376" customWidth="1"/>
    <col min="3" max="3" width="52.54296875" style="376" customWidth="1"/>
    <col min="4" max="4" width="14.8125" style="376" customWidth="1"/>
    <col min="5" max="5" width="10.0859375" style="376" bestFit="1" customWidth="1"/>
    <col min="6" max="16384" width="8.90625" style="376" customWidth="1"/>
  </cols>
  <sheetData>
    <row r="1" spans="1:3" ht="16.5">
      <c r="A1" s="379" t="s">
        <v>7</v>
      </c>
      <c r="B1" s="379"/>
      <c r="C1" s="379"/>
    </row>
    <row r="2" spans="1:6" ht="18.75">
      <c r="A2" s="378" t="s">
        <v>246</v>
      </c>
      <c r="B2" s="378"/>
      <c r="C2" s="378"/>
      <c r="D2" s="378"/>
      <c r="E2" s="378"/>
      <c r="F2" s="378"/>
    </row>
    <row r="3" spans="1:6" ht="18.75">
      <c r="A3" s="378" t="s">
        <v>244</v>
      </c>
      <c r="B3" s="378"/>
      <c r="C3" s="378"/>
      <c r="D3" s="378"/>
      <c r="E3" s="378"/>
      <c r="F3" s="378"/>
    </row>
    <row r="4" spans="4:5" ht="16.5">
      <c r="D4" s="377" t="s">
        <v>243</v>
      </c>
      <c r="E4" s="377"/>
    </row>
    <row r="5" spans="1:5" ht="34.5" customHeight="1">
      <c r="A5" s="397" t="s">
        <v>34</v>
      </c>
      <c r="B5" s="397" t="s">
        <v>178</v>
      </c>
      <c r="C5" s="397" t="s">
        <v>240</v>
      </c>
      <c r="D5" s="397" t="s">
        <v>247</v>
      </c>
      <c r="E5" s="397" t="s">
        <v>242</v>
      </c>
    </row>
    <row r="6" spans="1:5" ht="25.5" customHeight="1">
      <c r="A6" s="403">
        <v>1</v>
      </c>
      <c r="B6" s="404" t="s">
        <v>248</v>
      </c>
      <c r="C6" s="404" t="s">
        <v>194</v>
      </c>
      <c r="D6" s="405">
        <v>541028037.617601</v>
      </c>
      <c r="E6" s="406"/>
    </row>
    <row r="7" spans="1:5" ht="25.5" customHeight="1">
      <c r="A7" s="407">
        <f aca="true" t="shared" si="0" ref="A7:A35">A6+1</f>
        <v>2</v>
      </c>
      <c r="B7" s="408" t="s">
        <v>179</v>
      </c>
      <c r="C7" s="408" t="s">
        <v>180</v>
      </c>
      <c r="D7" s="409">
        <v>433278023.942398</v>
      </c>
      <c r="E7" s="410"/>
    </row>
    <row r="8" spans="1:5" ht="25.5" customHeight="1">
      <c r="A8" s="407">
        <f t="shared" si="0"/>
        <v>3</v>
      </c>
      <c r="B8" s="408" t="s">
        <v>249</v>
      </c>
      <c r="C8" s="408" t="s">
        <v>250</v>
      </c>
      <c r="D8" s="409">
        <v>324396897.2398001</v>
      </c>
      <c r="E8" s="410"/>
    </row>
    <row r="9" spans="1:5" ht="25.5" customHeight="1">
      <c r="A9" s="407">
        <f t="shared" si="0"/>
        <v>4</v>
      </c>
      <c r="B9" s="408" t="s">
        <v>251</v>
      </c>
      <c r="C9" s="408" t="s">
        <v>252</v>
      </c>
      <c r="D9" s="409">
        <v>298743887.6512997</v>
      </c>
      <c r="E9" s="410"/>
    </row>
    <row r="10" spans="1:5" ht="25.5" customHeight="1">
      <c r="A10" s="407">
        <f t="shared" si="0"/>
        <v>5</v>
      </c>
      <c r="B10" s="408" t="s">
        <v>219</v>
      </c>
      <c r="C10" s="408" t="s">
        <v>220</v>
      </c>
      <c r="D10" s="409">
        <v>290769262.7369</v>
      </c>
      <c r="E10" s="410"/>
    </row>
    <row r="11" spans="1:5" ht="25.5" customHeight="1">
      <c r="A11" s="407">
        <f t="shared" si="0"/>
        <v>6</v>
      </c>
      <c r="B11" s="408" t="s">
        <v>181</v>
      </c>
      <c r="C11" s="408" t="s">
        <v>182</v>
      </c>
      <c r="D11" s="409">
        <v>274057177.12128353</v>
      </c>
      <c r="E11" s="410"/>
    </row>
    <row r="12" spans="1:5" ht="25.5" customHeight="1">
      <c r="A12" s="407">
        <f t="shared" si="0"/>
        <v>7</v>
      </c>
      <c r="B12" s="408" t="s">
        <v>253</v>
      </c>
      <c r="C12" s="408" t="s">
        <v>190</v>
      </c>
      <c r="D12" s="409">
        <v>249367119.43359968</v>
      </c>
      <c r="E12" s="410"/>
    </row>
    <row r="13" spans="1:5" ht="25.5" customHeight="1">
      <c r="A13" s="407">
        <f t="shared" si="0"/>
        <v>8</v>
      </c>
      <c r="B13" s="408" t="s">
        <v>183</v>
      </c>
      <c r="C13" s="408" t="s">
        <v>184</v>
      </c>
      <c r="D13" s="409">
        <v>211433619.39519957</v>
      </c>
      <c r="E13" s="410"/>
    </row>
    <row r="14" spans="1:5" ht="25.5" customHeight="1">
      <c r="A14" s="407">
        <f t="shared" si="0"/>
        <v>9</v>
      </c>
      <c r="B14" s="408" t="s">
        <v>254</v>
      </c>
      <c r="C14" s="408" t="s">
        <v>255</v>
      </c>
      <c r="D14" s="409">
        <v>197813930.20639983</v>
      </c>
      <c r="E14" s="410"/>
    </row>
    <row r="15" spans="1:5" ht="25.5" customHeight="1">
      <c r="A15" s="407">
        <f t="shared" si="0"/>
        <v>10</v>
      </c>
      <c r="B15" s="408" t="s">
        <v>256</v>
      </c>
      <c r="C15" s="408" t="s">
        <v>257</v>
      </c>
      <c r="D15" s="409">
        <v>179579056.25789976</v>
      </c>
      <c r="E15" s="410"/>
    </row>
    <row r="16" spans="1:5" ht="25.5" customHeight="1">
      <c r="A16" s="407">
        <f t="shared" si="0"/>
        <v>11</v>
      </c>
      <c r="B16" s="408" t="s">
        <v>258</v>
      </c>
      <c r="C16" s="408" t="s">
        <v>259</v>
      </c>
      <c r="D16" s="409">
        <v>151997861.9479</v>
      </c>
      <c r="E16" s="410"/>
    </row>
    <row r="17" spans="1:5" ht="25.5" customHeight="1">
      <c r="A17" s="407">
        <f t="shared" si="0"/>
        <v>12</v>
      </c>
      <c r="B17" s="408" t="s">
        <v>260</v>
      </c>
      <c r="C17" s="408" t="s">
        <v>200</v>
      </c>
      <c r="D17" s="409">
        <v>146627877.8925962</v>
      </c>
      <c r="E17" s="410"/>
    </row>
    <row r="18" spans="1:5" ht="25.5" customHeight="1">
      <c r="A18" s="407">
        <f t="shared" si="0"/>
        <v>13</v>
      </c>
      <c r="B18" s="408" t="s">
        <v>261</v>
      </c>
      <c r="C18" s="408" t="s">
        <v>192</v>
      </c>
      <c r="D18" s="409">
        <v>142869429.98610005</v>
      </c>
      <c r="E18" s="410"/>
    </row>
    <row r="19" spans="1:5" ht="25.5" customHeight="1">
      <c r="A19" s="407">
        <f t="shared" si="0"/>
        <v>14</v>
      </c>
      <c r="B19" s="408" t="s">
        <v>262</v>
      </c>
      <c r="C19" s="408" t="s">
        <v>263</v>
      </c>
      <c r="D19" s="409">
        <v>140156155.0757</v>
      </c>
      <c r="E19" s="410"/>
    </row>
    <row r="20" spans="1:5" ht="25.5" customHeight="1">
      <c r="A20" s="407">
        <f t="shared" si="0"/>
        <v>15</v>
      </c>
      <c r="B20" s="408" t="s">
        <v>225</v>
      </c>
      <c r="C20" s="408" t="s">
        <v>226</v>
      </c>
      <c r="D20" s="409">
        <v>135010116.09480026</v>
      </c>
      <c r="E20" s="410"/>
    </row>
    <row r="21" spans="1:5" ht="25.5" customHeight="1">
      <c r="A21" s="407">
        <f t="shared" si="0"/>
        <v>16</v>
      </c>
      <c r="B21" s="408" t="s">
        <v>264</v>
      </c>
      <c r="C21" s="408" t="s">
        <v>204</v>
      </c>
      <c r="D21" s="409">
        <v>127529190.23750004</v>
      </c>
      <c r="E21" s="410"/>
    </row>
    <row r="22" spans="1:5" ht="25.5" customHeight="1">
      <c r="A22" s="407">
        <f t="shared" si="0"/>
        <v>17</v>
      </c>
      <c r="B22" s="408" t="s">
        <v>265</v>
      </c>
      <c r="C22" s="408" t="s">
        <v>188</v>
      </c>
      <c r="D22" s="409">
        <v>126053146.46359912</v>
      </c>
      <c r="E22" s="410"/>
    </row>
    <row r="23" spans="1:5" ht="25.5" customHeight="1">
      <c r="A23" s="407">
        <f t="shared" si="0"/>
        <v>18</v>
      </c>
      <c r="B23" s="408" t="s">
        <v>266</v>
      </c>
      <c r="C23" s="408" t="s">
        <v>198</v>
      </c>
      <c r="D23" s="409">
        <v>125138847.93559936</v>
      </c>
      <c r="E23" s="410"/>
    </row>
    <row r="24" spans="1:5" ht="25.5" customHeight="1">
      <c r="A24" s="407">
        <f t="shared" si="0"/>
        <v>19</v>
      </c>
      <c r="B24" s="408" t="s">
        <v>267</v>
      </c>
      <c r="C24" s="408" t="s">
        <v>268</v>
      </c>
      <c r="D24" s="409">
        <v>124482621.45809998</v>
      </c>
      <c r="E24" s="410"/>
    </row>
    <row r="25" spans="1:5" ht="25.5" customHeight="1">
      <c r="A25" s="407">
        <f t="shared" si="0"/>
        <v>20</v>
      </c>
      <c r="B25" s="408" t="s">
        <v>269</v>
      </c>
      <c r="C25" s="408" t="s">
        <v>270</v>
      </c>
      <c r="D25" s="409">
        <v>119618627.57620001</v>
      </c>
      <c r="E25" s="410"/>
    </row>
    <row r="26" spans="1:5" ht="25.5" customHeight="1">
      <c r="A26" s="407">
        <f t="shared" si="0"/>
        <v>21</v>
      </c>
      <c r="B26" s="408" t="s">
        <v>271</v>
      </c>
      <c r="C26" s="408" t="s">
        <v>272</v>
      </c>
      <c r="D26" s="409">
        <v>113738520.43310034</v>
      </c>
      <c r="E26" s="410"/>
    </row>
    <row r="27" spans="1:5" ht="25.5" customHeight="1">
      <c r="A27" s="407">
        <f t="shared" si="0"/>
        <v>22</v>
      </c>
      <c r="B27" s="408" t="s">
        <v>273</v>
      </c>
      <c r="C27" s="408" t="s">
        <v>236</v>
      </c>
      <c r="D27" s="409">
        <v>95871361.23510003</v>
      </c>
      <c r="E27" s="410"/>
    </row>
    <row r="28" spans="1:5" ht="25.5" customHeight="1">
      <c r="A28" s="407">
        <f t="shared" si="0"/>
        <v>23</v>
      </c>
      <c r="B28" s="408" t="s">
        <v>274</v>
      </c>
      <c r="C28" s="408" t="s">
        <v>275</v>
      </c>
      <c r="D28" s="409">
        <v>95871071.77760002</v>
      </c>
      <c r="E28" s="410"/>
    </row>
    <row r="29" spans="1:5" ht="25.5" customHeight="1">
      <c r="A29" s="407">
        <f t="shared" si="0"/>
        <v>24</v>
      </c>
      <c r="B29" s="408" t="s">
        <v>276</v>
      </c>
      <c r="C29" s="408" t="s">
        <v>232</v>
      </c>
      <c r="D29" s="409">
        <v>92747083.73760009</v>
      </c>
      <c r="E29" s="410"/>
    </row>
    <row r="30" spans="1:5" ht="25.5" customHeight="1">
      <c r="A30" s="407">
        <f t="shared" si="0"/>
        <v>25</v>
      </c>
      <c r="B30" s="408" t="s">
        <v>277</v>
      </c>
      <c r="C30" s="408" t="s">
        <v>278</v>
      </c>
      <c r="D30" s="409">
        <v>88728974.65299986</v>
      </c>
      <c r="E30" s="410"/>
    </row>
    <row r="31" spans="1:5" ht="25.5" customHeight="1">
      <c r="A31" s="407">
        <f t="shared" si="0"/>
        <v>26</v>
      </c>
      <c r="B31" s="408" t="s">
        <v>279</v>
      </c>
      <c r="C31" s="408" t="s">
        <v>280</v>
      </c>
      <c r="D31" s="409">
        <v>87975776.27389999</v>
      </c>
      <c r="E31" s="410"/>
    </row>
    <row r="32" spans="1:5" ht="25.5" customHeight="1">
      <c r="A32" s="407">
        <f t="shared" si="0"/>
        <v>27</v>
      </c>
      <c r="B32" s="408" t="s">
        <v>281</v>
      </c>
      <c r="C32" s="408" t="s">
        <v>214</v>
      </c>
      <c r="D32" s="409">
        <v>87600848.98750006</v>
      </c>
      <c r="E32" s="410"/>
    </row>
    <row r="33" spans="1:5" ht="25.5" customHeight="1">
      <c r="A33" s="407">
        <f t="shared" si="0"/>
        <v>28</v>
      </c>
      <c r="B33" s="408" t="s">
        <v>223</v>
      </c>
      <c r="C33" s="408" t="s">
        <v>224</v>
      </c>
      <c r="D33" s="409">
        <v>87484977.30560161</v>
      </c>
      <c r="E33" s="410"/>
    </row>
    <row r="34" spans="1:5" ht="25.5" customHeight="1">
      <c r="A34" s="407">
        <f t="shared" si="0"/>
        <v>29</v>
      </c>
      <c r="B34" s="408" t="s">
        <v>185</v>
      </c>
      <c r="C34" s="408" t="s">
        <v>186</v>
      </c>
      <c r="D34" s="409">
        <v>87102473.92379959</v>
      </c>
      <c r="E34" s="410"/>
    </row>
    <row r="35" spans="1:5" ht="25.5" customHeight="1">
      <c r="A35" s="407">
        <f t="shared" si="0"/>
        <v>30</v>
      </c>
      <c r="B35" s="411" t="s">
        <v>282</v>
      </c>
      <c r="C35" s="411" t="s">
        <v>283</v>
      </c>
      <c r="D35" s="412">
        <v>84950818.5779</v>
      </c>
      <c r="E35" s="413"/>
    </row>
    <row r="36" spans="1:5" ht="25.5" customHeight="1">
      <c r="A36" s="402" t="s">
        <v>284</v>
      </c>
      <c r="B36" s="414" t="s">
        <v>284</v>
      </c>
      <c r="C36" s="415" t="s">
        <v>245</v>
      </c>
      <c r="D36" s="416">
        <f>SUM(D6:D35)</f>
        <v>5262022793.175579</v>
      </c>
      <c r="E36" s="417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ignoredErrors>
    <ignoredError sqref="B6:B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8.72265625" defaultRowHeight="16.5"/>
  <cols>
    <col min="1" max="1" width="39.6328125" style="11" customWidth="1"/>
    <col min="2" max="2" width="9.36328125" style="11" customWidth="1"/>
    <col min="3" max="3" width="14.0859375" style="11" customWidth="1"/>
    <col min="4" max="4" width="13.54296875" style="11" customWidth="1"/>
    <col min="5" max="5" width="12.8125" style="11" customWidth="1"/>
    <col min="6" max="6" width="11.6328125" style="11" customWidth="1"/>
    <col min="7" max="16384" width="8.90625" style="11" customWidth="1"/>
  </cols>
  <sheetData>
    <row r="1" ht="15.75">
      <c r="A1" s="23" t="s">
        <v>7</v>
      </c>
    </row>
    <row r="2" spans="1:5" ht="15.75">
      <c r="A2" s="24" t="s">
        <v>176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7" s="12" customFormat="1" ht="24.75" customHeight="1">
      <c r="A4" s="364" t="s">
        <v>14</v>
      </c>
      <c r="B4" s="373" t="s">
        <v>131</v>
      </c>
      <c r="C4" s="75" t="s">
        <v>177</v>
      </c>
      <c r="D4" s="76"/>
      <c r="E4" s="77"/>
      <c r="F4" s="373" t="s">
        <v>58</v>
      </c>
      <c r="G4" s="375"/>
    </row>
    <row r="5" spans="1:7" s="12" customFormat="1" ht="45.75" customHeight="1">
      <c r="A5" s="366"/>
      <c r="B5" s="374"/>
      <c r="C5" s="78" t="s">
        <v>56</v>
      </c>
      <c r="D5" s="78" t="s">
        <v>57</v>
      </c>
      <c r="E5" s="78" t="s">
        <v>50</v>
      </c>
      <c r="F5" s="374"/>
      <c r="G5" s="375"/>
    </row>
    <row r="6" spans="1:6" s="12" customFormat="1" ht="15.75">
      <c r="A6" s="39" t="s">
        <v>10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</row>
    <row r="7" spans="1:7" s="15" customFormat="1" ht="24" customHeight="1">
      <c r="A7" s="13" t="s">
        <v>136</v>
      </c>
      <c r="B7" s="14">
        <v>104.5</v>
      </c>
      <c r="C7" s="14">
        <v>103.98</v>
      </c>
      <c r="D7" s="14">
        <v>103.98</v>
      </c>
      <c r="E7" s="14">
        <v>100.15</v>
      </c>
      <c r="F7" s="258" t="s">
        <v>151</v>
      </c>
      <c r="G7" s="145"/>
    </row>
    <row r="8" spans="1:7" ht="24" customHeight="1">
      <c r="A8" s="196" t="s">
        <v>15</v>
      </c>
      <c r="B8" s="17">
        <v>108.55</v>
      </c>
      <c r="C8" s="17">
        <v>104.87</v>
      </c>
      <c r="D8" s="17">
        <v>104.87</v>
      </c>
      <c r="E8" s="147">
        <v>100.28</v>
      </c>
      <c r="F8" s="259" t="s">
        <v>151</v>
      </c>
      <c r="G8" s="146"/>
    </row>
    <row r="9" spans="1:7" ht="24" customHeight="1">
      <c r="A9" s="16" t="s">
        <v>30</v>
      </c>
      <c r="B9" s="17">
        <v>103.81</v>
      </c>
      <c r="C9" s="17">
        <v>103.94</v>
      </c>
      <c r="D9" s="17">
        <v>103.94</v>
      </c>
      <c r="E9" s="147">
        <v>100.27</v>
      </c>
      <c r="F9" s="259" t="s">
        <v>151</v>
      </c>
      <c r="G9" s="146"/>
    </row>
    <row r="10" spans="1:7" ht="24" customHeight="1">
      <c r="A10" s="16" t="s">
        <v>16</v>
      </c>
      <c r="B10" s="17">
        <v>109.52</v>
      </c>
      <c r="C10" s="17">
        <v>105.25</v>
      </c>
      <c r="D10" s="17">
        <v>105.25</v>
      </c>
      <c r="E10" s="147">
        <v>100.38</v>
      </c>
      <c r="F10" s="259" t="s">
        <v>151</v>
      </c>
      <c r="G10" s="37"/>
    </row>
    <row r="11" spans="1:7" ht="24" customHeight="1">
      <c r="A11" s="16" t="s">
        <v>31</v>
      </c>
      <c r="B11" s="17">
        <v>108.55</v>
      </c>
      <c r="C11" s="17">
        <v>104.45</v>
      </c>
      <c r="D11" s="18">
        <v>104.45</v>
      </c>
      <c r="E11" s="192">
        <v>100.06</v>
      </c>
      <c r="F11" s="259" t="s">
        <v>151</v>
      </c>
      <c r="G11" s="37"/>
    </row>
    <row r="12" spans="1:7" ht="24" customHeight="1">
      <c r="A12" s="16" t="s">
        <v>17</v>
      </c>
      <c r="B12" s="17">
        <v>104.19</v>
      </c>
      <c r="C12" s="17">
        <v>102.23</v>
      </c>
      <c r="D12" s="17">
        <v>102.23</v>
      </c>
      <c r="E12" s="147">
        <v>100</v>
      </c>
      <c r="F12" s="259" t="s">
        <v>151</v>
      </c>
      <c r="G12" s="37"/>
    </row>
    <row r="13" spans="1:7" ht="24" customHeight="1">
      <c r="A13" s="16" t="s">
        <v>137</v>
      </c>
      <c r="B13" s="17">
        <v>112.3</v>
      </c>
      <c r="C13" s="17">
        <v>104.84</v>
      </c>
      <c r="D13" s="17">
        <v>104.84</v>
      </c>
      <c r="E13" s="147">
        <v>100.44</v>
      </c>
      <c r="F13" s="259" t="s">
        <v>151</v>
      </c>
      <c r="G13" s="37"/>
    </row>
    <row r="14" spans="1:7" ht="24" customHeight="1">
      <c r="A14" s="196" t="s">
        <v>32</v>
      </c>
      <c r="B14" s="17">
        <v>101.69</v>
      </c>
      <c r="C14" s="17">
        <v>102.16</v>
      </c>
      <c r="D14" s="17">
        <v>102.16</v>
      </c>
      <c r="E14" s="147">
        <v>100.92</v>
      </c>
      <c r="F14" s="259" t="s">
        <v>151</v>
      </c>
      <c r="G14" s="146"/>
    </row>
    <row r="15" spans="1:7" ht="24" customHeight="1">
      <c r="A15" s="196" t="s">
        <v>18</v>
      </c>
      <c r="B15" s="17">
        <v>106.97</v>
      </c>
      <c r="C15" s="17">
        <v>101.5</v>
      </c>
      <c r="D15" s="17">
        <v>101.5</v>
      </c>
      <c r="E15" s="147">
        <v>99.99</v>
      </c>
      <c r="F15" s="259" t="s">
        <v>151</v>
      </c>
      <c r="G15" s="37"/>
    </row>
    <row r="16" spans="1:7" ht="24" customHeight="1">
      <c r="A16" s="196" t="s">
        <v>19</v>
      </c>
      <c r="B16" s="17">
        <v>124.06</v>
      </c>
      <c r="C16" s="17">
        <v>123.1</v>
      </c>
      <c r="D16" s="17">
        <v>123.1</v>
      </c>
      <c r="E16" s="17">
        <v>100</v>
      </c>
      <c r="F16" s="259" t="s">
        <v>151</v>
      </c>
      <c r="G16" s="37"/>
    </row>
    <row r="17" spans="1:9" ht="24" customHeight="1">
      <c r="A17" s="196" t="s">
        <v>28</v>
      </c>
      <c r="B17" s="17">
        <v>82.42</v>
      </c>
      <c r="C17" s="17">
        <v>99.14</v>
      </c>
      <c r="D17" s="17">
        <v>99.14</v>
      </c>
      <c r="E17" s="17">
        <v>98.95</v>
      </c>
      <c r="F17" s="259" t="s">
        <v>151</v>
      </c>
      <c r="G17" s="146"/>
      <c r="H17" s="146"/>
      <c r="I17" s="146"/>
    </row>
    <row r="18" spans="1:9" ht="24" customHeight="1">
      <c r="A18" s="196" t="s">
        <v>29</v>
      </c>
      <c r="B18" s="17">
        <v>97.96</v>
      </c>
      <c r="C18" s="17">
        <v>99.28</v>
      </c>
      <c r="D18" s="17">
        <v>99.28</v>
      </c>
      <c r="E18" s="17">
        <v>99.99</v>
      </c>
      <c r="F18" s="259" t="s">
        <v>151</v>
      </c>
      <c r="G18" s="146"/>
      <c r="H18" s="146"/>
      <c r="I18" s="146"/>
    </row>
    <row r="19" spans="1:7" ht="24" customHeight="1">
      <c r="A19" s="16" t="s">
        <v>20</v>
      </c>
      <c r="B19" s="17">
        <v>110.57</v>
      </c>
      <c r="C19" s="17">
        <v>107.91</v>
      </c>
      <c r="D19" s="17">
        <v>107.91</v>
      </c>
      <c r="E19" s="17">
        <v>100</v>
      </c>
      <c r="F19" s="259" t="s">
        <v>151</v>
      </c>
      <c r="G19" s="37"/>
    </row>
    <row r="20" spans="1:8" ht="24" customHeight="1">
      <c r="A20" s="16" t="s">
        <v>21</v>
      </c>
      <c r="B20" s="17">
        <v>102.68</v>
      </c>
      <c r="C20" s="17">
        <v>99.83</v>
      </c>
      <c r="D20" s="17">
        <v>99.83</v>
      </c>
      <c r="E20" s="17">
        <v>100</v>
      </c>
      <c r="F20" s="259" t="s">
        <v>151</v>
      </c>
      <c r="G20" s="37"/>
      <c r="H20" s="146"/>
    </row>
    <row r="21" spans="1:7" ht="24" customHeight="1">
      <c r="A21" s="16" t="s">
        <v>22</v>
      </c>
      <c r="B21" s="17">
        <v>107.9</v>
      </c>
      <c r="C21" s="17">
        <v>102.2</v>
      </c>
      <c r="D21" s="17">
        <v>102.2</v>
      </c>
      <c r="E21" s="17">
        <v>100.08</v>
      </c>
      <c r="F21" s="259" t="s">
        <v>151</v>
      </c>
      <c r="G21" s="37"/>
    </row>
    <row r="22" spans="1:7" s="20" customFormat="1" ht="24" customHeight="1">
      <c r="A22" s="19" t="s">
        <v>23</v>
      </c>
      <c r="B22" s="30">
        <v>100.74</v>
      </c>
      <c r="C22" s="30">
        <v>112.05</v>
      </c>
      <c r="D22" s="30">
        <v>112.05</v>
      </c>
      <c r="E22" s="85">
        <v>96.34</v>
      </c>
      <c r="F22" s="259" t="s">
        <v>151</v>
      </c>
      <c r="G22" s="37"/>
    </row>
    <row r="23" spans="1:7" s="20" customFormat="1" ht="24" customHeight="1">
      <c r="A23" s="21" t="s">
        <v>24</v>
      </c>
      <c r="B23" s="31">
        <v>106.96</v>
      </c>
      <c r="C23" s="31">
        <v>100.63</v>
      </c>
      <c r="D23" s="31">
        <v>100.63</v>
      </c>
      <c r="E23" s="31">
        <v>101.17</v>
      </c>
      <c r="F23" s="260" t="s">
        <v>151</v>
      </c>
      <c r="G23" s="146"/>
    </row>
  </sheetData>
  <sheetProtection/>
  <mergeCells count="4">
    <mergeCell ref="A4:A5"/>
    <mergeCell ref="F4:F5"/>
    <mergeCell ref="B4:B5"/>
    <mergeCell ref="G4:G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2017-01-09T01:33:37Z</cp:lastPrinted>
  <dcterms:created xsi:type="dcterms:W3CDTF">2002-05-14T16:08:28Z</dcterms:created>
  <dcterms:modified xsi:type="dcterms:W3CDTF">2017-02-16T07:54:05Z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