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Bieu 1" sheetId="1" r:id="rId1"/>
    <sheet name="Bieu 2" sheetId="2" r:id="rId2"/>
    <sheet name="Dau tu luoi dien" sheetId="3" r:id="rId3"/>
    <sheet name="Bieu 3" sheetId="4" r:id="rId4"/>
    <sheet name="Sheet3" sheetId="5" r:id="rId5"/>
  </sheets>
  <definedNames>
    <definedName name="_xlnm.Print_Titles" localSheetId="0">'Bieu 1'!$10:$15</definedName>
    <definedName name="_xlnm.Print_Titles" localSheetId="1">'Bieu 2'!$10:$14</definedName>
    <definedName name="_xlnm.Print_Titles" localSheetId="3">'Bieu 3'!$9:$13</definedName>
    <definedName name="_xlnm.Print_Titles" localSheetId="2">'Dau tu luoi dien'!$10:$14</definedName>
  </definedNames>
  <calcPr fullCalcOnLoad="1"/>
</workbook>
</file>

<file path=xl/sharedStrings.xml><?xml version="1.0" encoding="utf-8"?>
<sst xmlns="http://schemas.openxmlformats.org/spreadsheetml/2006/main" count="867" uniqueCount="564">
  <si>
    <t>STT</t>
  </si>
  <si>
    <t>Tên địa danh hành chính</t>
  </si>
  <si>
    <t>Tổng số hộ</t>
  </si>
  <si>
    <t>Số hộ có điện</t>
  </si>
  <si>
    <t>Tổng số</t>
  </si>
  <si>
    <t>Tỉ lệ</t>
  </si>
  <si>
    <t>(hộ)</t>
  </si>
  <si>
    <t>(%)</t>
  </si>
  <si>
    <t>Thành phố Biên Hòa</t>
  </si>
  <si>
    <t xml:space="preserve">    Xã Tân Hạnh</t>
  </si>
  <si>
    <t xml:space="preserve">    Xã Hiệp Hòa</t>
  </si>
  <si>
    <t xml:space="preserve">    Xã Hóa An</t>
  </si>
  <si>
    <t>Huyện Trảng Bom</t>
  </si>
  <si>
    <t xml:space="preserve">    Xã Bàu Hàm</t>
  </si>
  <si>
    <t xml:space="preserve">    Xã Sông Thao</t>
  </si>
  <si>
    <t xml:space="preserve">    Xã Sông Trầu</t>
  </si>
  <si>
    <t xml:space="preserve">    Xã Đông Hoà</t>
  </si>
  <si>
    <t xml:space="preserve">    Xã Bắc Sơn</t>
  </si>
  <si>
    <t xml:space="preserve">    Xã Hố Nai 3</t>
  </si>
  <si>
    <t xml:space="preserve">    Xã Tây Hoà</t>
  </si>
  <si>
    <t xml:space="preserve">    Xã Bình Minh</t>
  </si>
  <si>
    <t xml:space="preserve">    Xã Trung Hoà</t>
  </si>
  <si>
    <t xml:space="preserve">    Xã Đồi 61</t>
  </si>
  <si>
    <t xml:space="preserve">    Xã Hưng Thịnh</t>
  </si>
  <si>
    <t xml:space="preserve">    Xã Quảng Tiến</t>
  </si>
  <si>
    <t xml:space="preserve">    Xã Giang Điền</t>
  </si>
  <si>
    <t xml:space="preserve">    Xã An Viễn</t>
  </si>
  <si>
    <t>Huyện Thống Nhất</t>
  </si>
  <si>
    <t xml:space="preserve">    Xã Bàu Hàm 2</t>
  </si>
  <si>
    <t xml:space="preserve">    Xã Hưng Lộc</t>
  </si>
  <si>
    <t xml:space="preserve">    Xã Lộ 25</t>
  </si>
  <si>
    <t>Huyện Vĩnh Cửu</t>
  </si>
  <si>
    <t xml:space="preserve">    Xã Phú Lý</t>
  </si>
  <si>
    <t xml:space="preserve">    Xã Trị An</t>
  </si>
  <si>
    <t xml:space="preserve">    Xã Tân An</t>
  </si>
  <si>
    <t xml:space="preserve">    Xã Vĩnh Tân</t>
  </si>
  <si>
    <t xml:space="preserve">    Xã Bình Lợi</t>
  </si>
  <si>
    <t xml:space="preserve">    Xã Thạnh Phú</t>
  </si>
  <si>
    <t xml:space="preserve">    Xã Thiện Tân</t>
  </si>
  <si>
    <t xml:space="preserve">    Xã Tân Bình</t>
  </si>
  <si>
    <t xml:space="preserve">    Xã Bình Hòa</t>
  </si>
  <si>
    <t xml:space="preserve">    Xã Mã Đà</t>
  </si>
  <si>
    <t xml:space="preserve">    Xã Hiếu Liêm</t>
  </si>
  <si>
    <t xml:space="preserve">    Xã Thanh Bình</t>
  </si>
  <si>
    <t xml:space="preserve">    Xã Cây Gáo</t>
  </si>
  <si>
    <t>Thị xã Long Khánh</t>
  </si>
  <si>
    <t xml:space="preserve">    Xã Bình Lộc</t>
  </si>
  <si>
    <t xml:space="preserve">    Xã Bảo Quang</t>
  </si>
  <si>
    <t xml:space="preserve">    Xã Suối Tre</t>
  </si>
  <si>
    <t xml:space="preserve">    Xã Bảo Vinh</t>
  </si>
  <si>
    <t xml:space="preserve">    Xã Xuân Lập</t>
  </si>
  <si>
    <t xml:space="preserve">    Xã Bàu Sen</t>
  </si>
  <si>
    <t xml:space="preserve">    Xã Bàu Trâm</t>
  </si>
  <si>
    <t xml:space="preserve">    Xã Xuân Tân</t>
  </si>
  <si>
    <t xml:space="preserve">    Xã Hàng Gòn</t>
  </si>
  <si>
    <t xml:space="preserve">    Xã Xuân Thiện</t>
  </si>
  <si>
    <t xml:space="preserve">    Xã Xuân Thạnh</t>
  </si>
  <si>
    <t>Huyện Cẩm Mỹ</t>
  </si>
  <si>
    <t xml:space="preserve">    Xã Sông Nhạn</t>
  </si>
  <si>
    <t xml:space="preserve">    Xã Xuân Quế</t>
  </si>
  <si>
    <t xml:space="preserve">    Xã Nhân Nghĩa</t>
  </si>
  <si>
    <t xml:space="preserve">    Xã Xuân Đường</t>
  </si>
  <si>
    <t xml:space="preserve">    Xã Long Giao</t>
  </si>
  <si>
    <t xml:space="preserve">    Xã Xuân Mỹ</t>
  </si>
  <si>
    <t xml:space="preserve">    Xã Thừa Đức</t>
  </si>
  <si>
    <t xml:space="preserve">    Xã Bảo Bình</t>
  </si>
  <si>
    <t xml:space="preserve">    Xã Xuân Bảo</t>
  </si>
  <si>
    <t xml:space="preserve">    Xã Xuân Tây</t>
  </si>
  <si>
    <t xml:space="preserve">    Xã Xuân Đông</t>
  </si>
  <si>
    <t xml:space="preserve">    Xã Sông Ray</t>
  </si>
  <si>
    <t xml:space="preserve">    Xã Lâm San</t>
  </si>
  <si>
    <t>Huyện Xuân Lộc</t>
  </si>
  <si>
    <t xml:space="preserve">    Xã Xuân Bắc</t>
  </si>
  <si>
    <t xml:space="preserve">    Xã Suối Cao</t>
  </si>
  <si>
    <t xml:space="preserve">    Xã Xuân Thành</t>
  </si>
  <si>
    <t xml:space="preserve">    Xã Xuân Thọ</t>
  </si>
  <si>
    <t xml:space="preserve">    Xã Xuân Trường</t>
  </si>
  <si>
    <t xml:space="preserve">    Xã Xuân Hòa</t>
  </si>
  <si>
    <t xml:space="preserve">    Xã Xuân Hưng</t>
  </si>
  <si>
    <t xml:space="preserve">    Xã Xuân Tâm</t>
  </si>
  <si>
    <t xml:space="preserve">    Xã Suối Cát</t>
  </si>
  <si>
    <t xml:space="preserve">    Xã Xuân Hiệp</t>
  </si>
  <si>
    <t xml:space="preserve">    Xã Xuân Phú</t>
  </si>
  <si>
    <t xml:space="preserve">    Xã Xuân Định</t>
  </si>
  <si>
    <t xml:space="preserve">    Xã Bảo Hoà</t>
  </si>
  <si>
    <t xml:space="preserve">    Xã Lang Minh</t>
  </si>
  <si>
    <t>Huyện Tân Phú</t>
  </si>
  <si>
    <t xml:space="preserve">    Xã Dak Lua</t>
  </si>
  <si>
    <t xml:space="preserve">    Xã Nam Cát Tiên</t>
  </si>
  <si>
    <t xml:space="preserve">    Xã Phú An</t>
  </si>
  <si>
    <t xml:space="preserve">    Xã Núi Tượng</t>
  </si>
  <si>
    <t xml:space="preserve">    Xã Tà Lài</t>
  </si>
  <si>
    <t xml:space="preserve">    Xã Phú Lập</t>
  </si>
  <si>
    <t xml:space="preserve">    Xã Phú Sơn</t>
  </si>
  <si>
    <t xml:space="preserve">    Xã Phú Thịnh</t>
  </si>
  <si>
    <t xml:space="preserve">    Xã Thanh Sơn</t>
  </si>
  <si>
    <t xml:space="preserve">    Xã Phú Trung</t>
  </si>
  <si>
    <t xml:space="preserve">    Xã Phú Xuân</t>
  </si>
  <si>
    <t xml:space="preserve">    Xã Phú Lộc</t>
  </si>
  <si>
    <t xml:space="preserve">    Xã Phú Lâm</t>
  </si>
  <si>
    <t xml:space="preserve">    Xã Phú Bình</t>
  </si>
  <si>
    <t xml:space="preserve">    Xã Phú Thanh</t>
  </si>
  <si>
    <t xml:space="preserve">    Xã Trà Cổ</t>
  </si>
  <si>
    <t xml:space="preserve">    Xã Phú Điền</t>
  </si>
  <si>
    <t>Huyện Định Quán</t>
  </si>
  <si>
    <t xml:space="preserve">    Xã Phú Tân</t>
  </si>
  <si>
    <t xml:space="preserve">    Xã Phú Vinh</t>
  </si>
  <si>
    <t xml:space="preserve">    Xã Phú Lợi</t>
  </si>
  <si>
    <t xml:space="preserve">    Xã Phú Hòa</t>
  </si>
  <si>
    <t xml:space="preserve">    Xã Ngọc Định</t>
  </si>
  <si>
    <t xml:space="preserve">    Xã La Ngà</t>
  </si>
  <si>
    <t xml:space="preserve">    Xã Gia Canh</t>
  </si>
  <si>
    <t xml:space="preserve">    Xã Phú Ngọc</t>
  </si>
  <si>
    <t xml:space="preserve">    Xã Phú Cường</t>
  </si>
  <si>
    <t xml:space="preserve">    Xã Túc Trưng</t>
  </si>
  <si>
    <t xml:space="preserve">    Xã Phú Túc</t>
  </si>
  <si>
    <t xml:space="preserve">    Xã Suối Nho</t>
  </si>
  <si>
    <t xml:space="preserve">    Xã Gia Tân 1</t>
  </si>
  <si>
    <t xml:space="preserve">    Xã Gia Tân 2</t>
  </si>
  <si>
    <t xml:space="preserve">    Xã Gia Tân 3</t>
  </si>
  <si>
    <t xml:space="preserve">    Xã Gia Kiệm</t>
  </si>
  <si>
    <t xml:space="preserve">    Xã Quang Trung</t>
  </si>
  <si>
    <t xml:space="preserve">    Xã Tam Phước</t>
  </si>
  <si>
    <t xml:space="preserve">    Xã An Hòa</t>
  </si>
  <si>
    <t xml:space="preserve">    Xã Phước Tân</t>
  </si>
  <si>
    <t xml:space="preserve">    Xã Long Hưng</t>
  </si>
  <si>
    <t>Huyện Long Thành</t>
  </si>
  <si>
    <t xml:space="preserve">    Xã An Phước</t>
  </si>
  <si>
    <t xml:space="preserve">    Xã Bình An</t>
  </si>
  <si>
    <t xml:space="preserve">    Xã Long Đức</t>
  </si>
  <si>
    <t xml:space="preserve">    Xã Lộc An</t>
  </si>
  <si>
    <t xml:space="preserve">    Xã Bình Sơn</t>
  </si>
  <si>
    <t xml:space="preserve">    Xã Tam An</t>
  </si>
  <si>
    <t xml:space="preserve">    Xã Cẩm Đường</t>
  </si>
  <si>
    <t xml:space="preserve">    Xã Long An</t>
  </si>
  <si>
    <t xml:space="preserve">    Xã Suối Trầu</t>
  </si>
  <si>
    <t xml:space="preserve">    Xã Bàu Cạn</t>
  </si>
  <si>
    <t xml:space="preserve">    Xã Long Phước</t>
  </si>
  <si>
    <t xml:space="preserve">    Xã Phước Bình</t>
  </si>
  <si>
    <t xml:space="preserve">    Xã Tân Hiệp</t>
  </si>
  <si>
    <t xml:space="preserve">    Xã Phước Thái</t>
  </si>
  <si>
    <t>Huyện Nhơn Trạch</t>
  </si>
  <si>
    <t xml:space="preserve">    Xã Phước Thiền</t>
  </si>
  <si>
    <t xml:space="preserve">    Xã Long Tân</t>
  </si>
  <si>
    <t xml:space="preserve">    Xã Đại Phước</t>
  </si>
  <si>
    <t xml:space="preserve">    Xã Hiệp Phước</t>
  </si>
  <si>
    <t xml:space="preserve">    Xã Phú Hữu</t>
  </si>
  <si>
    <t xml:space="preserve">    Xã Phú Hội</t>
  </si>
  <si>
    <t xml:space="preserve">    Xã Phú Thạnh</t>
  </si>
  <si>
    <t xml:space="preserve">    Xã Phú Đông</t>
  </si>
  <si>
    <t xml:space="preserve">    Xã Long Thọ</t>
  </si>
  <si>
    <t xml:space="preserve">    Xã Vĩnh Thanh</t>
  </si>
  <si>
    <t xml:space="preserve">    Xã Phước Khánh</t>
  </si>
  <si>
    <t xml:space="preserve">    Xã Phước An</t>
  </si>
  <si>
    <t>Số hộ dân</t>
  </si>
  <si>
    <t>Thành thị</t>
  </si>
  <si>
    <t>Nông thôn</t>
  </si>
  <si>
    <t xml:space="preserve">Số hộ </t>
  </si>
  <si>
    <t>Tổ chức quản lý bán điện</t>
  </si>
  <si>
    <t>Tổng</t>
  </si>
  <si>
    <t>số</t>
  </si>
  <si>
    <t>hộ</t>
  </si>
  <si>
    <t xml:space="preserve">Ngành </t>
  </si>
  <si>
    <t>điện</t>
  </si>
  <si>
    <t>quản lý</t>
  </si>
  <si>
    <t>Tổ chức ngoài ngành điện quản lý</t>
  </si>
  <si>
    <t>THÀNH PHỐ, THỊ XÃ</t>
  </si>
  <si>
    <t>I</t>
  </si>
  <si>
    <t>II</t>
  </si>
  <si>
    <t>HUYỆN</t>
  </si>
  <si>
    <t>TỔNG CỘNG</t>
  </si>
  <si>
    <t xml:space="preserve">Tỷ lệ hộ </t>
  </si>
  <si>
    <t>có điện</t>
  </si>
  <si>
    <t>kể cả</t>
  </si>
  <si>
    <t>ắc qui</t>
  </si>
  <si>
    <t>BÁO CÁO</t>
  </si>
  <si>
    <t>TÌNH HÌNH CẤP ĐIỆN ĐỆN TỪNG HỘ SỬ DỤNG ĐIỆN NÔNG THÔN</t>
  </si>
  <si>
    <t>(Tính đến ngày 31/12/2011)</t>
  </si>
  <si>
    <t>TỔNG CÔNG TY ĐIỆN LỰC MIỀN NAM</t>
  </si>
  <si>
    <t xml:space="preserve">   CÔNG TY TNHH MỘT THÀNH VIÊN </t>
  </si>
  <si>
    <t xml:space="preserve">             ĐIỆN LỰC ĐỒNG NAI</t>
  </si>
  <si>
    <t>Trạm biến áp</t>
  </si>
  <si>
    <t>Đường</t>
  </si>
  <si>
    <t>Số công tơ</t>
  </si>
  <si>
    <t>Điện tiêu thụ bình quân (kWh/tháng)</t>
  </si>
  <si>
    <t>Tình hình cấp điện</t>
  </si>
  <si>
    <t xml:space="preserve">Tên địa danh </t>
  </si>
  <si>
    <t xml:space="preserve">Trạm </t>
  </si>
  <si>
    <t xml:space="preserve">Dung </t>
  </si>
  <si>
    <t>dây</t>
  </si>
  <si>
    <t>3 pha</t>
  </si>
  <si>
    <t>1 pha</t>
  </si>
  <si>
    <t>Tại nhà khách hàng</t>
  </si>
  <si>
    <t>Tổn thất</t>
  </si>
  <si>
    <t xml:space="preserve">Tổng số </t>
  </si>
  <si>
    <t xml:space="preserve"> hành chánh</t>
  </si>
  <si>
    <t>lượng</t>
  </si>
  <si>
    <t>hạ áp</t>
  </si>
  <si>
    <t>Sinh hoạt</t>
  </si>
  <si>
    <t>SX-KD</t>
  </si>
  <si>
    <t>điện năng</t>
  </si>
  <si>
    <t>hộ dân</t>
  </si>
  <si>
    <t>(km)</t>
  </si>
  <si>
    <t>(trạm)</t>
  </si>
  <si>
    <t>(kVA)</t>
  </si>
  <si>
    <t>(cái)</t>
  </si>
  <si>
    <t>(kWh/tháng)</t>
  </si>
  <si>
    <t>12=(9-10-11)/9</t>
  </si>
  <si>
    <t>15=14/13</t>
  </si>
  <si>
    <t>Xã Hiệp Hoà</t>
  </si>
  <si>
    <t>Xã Hoá An</t>
  </si>
  <si>
    <t>Xã Tân Hạnh</t>
  </si>
  <si>
    <t>Đường dây trung áp</t>
  </si>
  <si>
    <t>T. số hộ dân có điện</t>
  </si>
  <si>
    <t>Tỷ lệ hộ dân có điện</t>
  </si>
  <si>
    <t>Tại công tơ tổng</t>
  </si>
  <si>
    <t>Xã Bảo Quang</t>
  </si>
  <si>
    <t>Xã Bảo Vinh</t>
  </si>
  <si>
    <t>Xã Bình Lộc</t>
  </si>
  <si>
    <t>Xã Xuân Lập</t>
  </si>
  <si>
    <t>Xã Xuân Tân</t>
  </si>
  <si>
    <t>Xã Hàng Gòn</t>
  </si>
  <si>
    <t>Xã Suối Tre</t>
  </si>
  <si>
    <t>Xã Bàu Trâm</t>
  </si>
  <si>
    <t>Xã Bàu Sen</t>
  </si>
  <si>
    <t>Xã Xuân Thạnh</t>
  </si>
  <si>
    <t>Xã Xuân Thiện</t>
  </si>
  <si>
    <t>Xã Long Giao</t>
  </si>
  <si>
    <t>Xã Nhân Nghĩa</t>
  </si>
  <si>
    <t>Xã Sông Nhạn</t>
  </si>
  <si>
    <t>Xã Thừa Đức</t>
  </si>
  <si>
    <t>Xã Xuân Quế</t>
  </si>
  <si>
    <t>Xã Xuân Đường</t>
  </si>
  <si>
    <t>Xã Xuân Mỹ</t>
  </si>
  <si>
    <t>7,31</t>
  </si>
  <si>
    <t>7,95</t>
  </si>
  <si>
    <t>4,78</t>
  </si>
  <si>
    <t>6,45</t>
  </si>
  <si>
    <t>7,18</t>
  </si>
  <si>
    <t>5,69</t>
  </si>
  <si>
    <t>4,81</t>
  </si>
  <si>
    <t>7,79</t>
  </si>
  <si>
    <t>3,72</t>
  </si>
  <si>
    <t>Xã Xuân Bắc</t>
  </si>
  <si>
    <t>Xã Suối Cao</t>
  </si>
  <si>
    <t>Xã Xuân Thành</t>
  </si>
  <si>
    <t>Xã Xuân Thọ</t>
  </si>
  <si>
    <t>Xã Xuân Trường</t>
  </si>
  <si>
    <t>Xã Xuân Hòa</t>
  </si>
  <si>
    <t>Xã Xuân Hưng</t>
  </si>
  <si>
    <t>Xã Xuân Tâm</t>
  </si>
  <si>
    <t>Xã Suối Cát</t>
  </si>
  <si>
    <t>Xã Xuân Hiệp</t>
  </si>
  <si>
    <t>Xã Xuân Phú</t>
  </si>
  <si>
    <t>Xã Xuân Định</t>
  </si>
  <si>
    <t>Xã Bảo Hoà</t>
  </si>
  <si>
    <t>Xã Lang Minh</t>
  </si>
  <si>
    <t>Xã Bảo Bình</t>
  </si>
  <si>
    <t>Xã Xuân Bảo</t>
  </si>
  <si>
    <t>Xã Xuân Tây</t>
  </si>
  <si>
    <t>Xã Xuân Đông</t>
  </si>
  <si>
    <t>Xã Sông Ray</t>
  </si>
  <si>
    <t>Xã Lâm San</t>
  </si>
  <si>
    <t>Xã Phước Thiền</t>
  </si>
  <si>
    <t>Xã Long Tân</t>
  </si>
  <si>
    <t>Xã Đại Phước</t>
  </si>
  <si>
    <t>Xã Hiệp Phước</t>
  </si>
  <si>
    <t>Xã Phú Hữu</t>
  </si>
  <si>
    <t>Xã Phú Hội</t>
  </si>
  <si>
    <t>Xã Phú Thạnh</t>
  </si>
  <si>
    <t>Xã Phú Đông</t>
  </si>
  <si>
    <t>Xã Long Thọ</t>
  </si>
  <si>
    <t>Xã Vĩnh Thanh</t>
  </si>
  <si>
    <t>Xã Phước Khánh</t>
  </si>
  <si>
    <t>Xã Phước An</t>
  </si>
  <si>
    <t>Xã An Phước</t>
  </si>
  <si>
    <t>Xã Bình An</t>
  </si>
  <si>
    <t>Xã Long Đức</t>
  </si>
  <si>
    <t xml:space="preserve">Xã Lộc An </t>
  </si>
  <si>
    <t>Xã Bình Sơn</t>
  </si>
  <si>
    <t xml:space="preserve">Xã Tam An </t>
  </si>
  <si>
    <t>Xã Cẩm Đường</t>
  </si>
  <si>
    <t xml:space="preserve">Xã Long An </t>
  </si>
  <si>
    <t>Xã Suối Trầu</t>
  </si>
  <si>
    <t>Xã Bàu Cạn</t>
  </si>
  <si>
    <t>Xã Long Phước</t>
  </si>
  <si>
    <t>Xã Phước Bình</t>
  </si>
  <si>
    <t>Xã Tân Hiệp</t>
  </si>
  <si>
    <t>Xã Phước Thái</t>
  </si>
  <si>
    <t>Xã Bình Hòa</t>
  </si>
  <si>
    <t>Xã Bình Lợi</t>
  </si>
  <si>
    <t>Xã Mã Đà</t>
  </si>
  <si>
    <t>Xã Phú Lý</t>
  </si>
  <si>
    <t>Xã Hiếu Liêm</t>
  </si>
  <si>
    <t>Xã Trị An</t>
  </si>
  <si>
    <t>Xã Tân An</t>
  </si>
  <si>
    <t>Xã Vĩnh Tân</t>
  </si>
  <si>
    <t>Xã Tân Bình</t>
  </si>
  <si>
    <t>Xã Thạnh Phú</t>
  </si>
  <si>
    <t>Xã Thiện Tân</t>
  </si>
  <si>
    <t>kể cả ắc qui</t>
  </si>
  <si>
    <t>HIỆN TRẠNG CẤP ĐIỆN VÀ QUẢN LÝ KINH DOANH ĐIỆN</t>
  </si>
  <si>
    <t>Tính đến ngày 31/12/2011)</t>
  </si>
  <si>
    <t>TỔNG CỘNG :</t>
  </si>
  <si>
    <t>Xã Cây Gáo</t>
  </si>
  <si>
    <t>Xã Thanh Bình</t>
  </si>
  <si>
    <t>Xã Tam Phước</t>
  </si>
  <si>
    <t>Xã An Hoà</t>
  </si>
  <si>
    <t>Xã Phước Tân</t>
  </si>
  <si>
    <t xml:space="preserve">Xã Long Hưng </t>
  </si>
  <si>
    <t>Xã Thanh Sơn</t>
  </si>
  <si>
    <t>Xã Phú Tân</t>
  </si>
  <si>
    <t>Xã Phú Vinh</t>
  </si>
  <si>
    <t>Xã Phú Lợi</t>
  </si>
  <si>
    <t>Xã Phú Hòa</t>
  </si>
  <si>
    <t>Xã Ngọc Định</t>
  </si>
  <si>
    <t>Xã La Ngà</t>
  </si>
  <si>
    <t>Xã Gia Canh</t>
  </si>
  <si>
    <t>Xã Phú Ngọc</t>
  </si>
  <si>
    <t>Xã Phú Cường</t>
  </si>
  <si>
    <t>Xã Túc Trưng</t>
  </si>
  <si>
    <t>Xã Phú Túc</t>
  </si>
  <si>
    <t>Xã Suối Nho</t>
  </si>
  <si>
    <t>Xã Đaklua</t>
  </si>
  <si>
    <t>Xã Nam Cát Tiên</t>
  </si>
  <si>
    <t>Xã Phú An</t>
  </si>
  <si>
    <t>Xã Núi Tượng</t>
  </si>
  <si>
    <t>Xã Tà Lài</t>
  </si>
  <si>
    <t>Xã Phú Lập</t>
  </si>
  <si>
    <t>Xã Phú Sơn</t>
  </si>
  <si>
    <t>Xã Phú Thịnh</t>
  </si>
  <si>
    <t>Xã Phú Trung</t>
  </si>
  <si>
    <t>Xã Phú Xuân</t>
  </si>
  <si>
    <t>Xã Phú Lộc</t>
  </si>
  <si>
    <t>Xã Phú Lâm</t>
  </si>
  <si>
    <t>Xã Phú Bình</t>
  </si>
  <si>
    <t>Xã Phú Thanh</t>
  </si>
  <si>
    <t>Xã Trà Cổ</t>
  </si>
  <si>
    <t>Xã Phú Điền</t>
  </si>
  <si>
    <t>Xã Gia Tân 1</t>
  </si>
  <si>
    <t>Xã Gia Tân 2</t>
  </si>
  <si>
    <t>Xã Gia Tân 3</t>
  </si>
  <si>
    <t>Xã Gia Kiệm</t>
  </si>
  <si>
    <t>Xã Quang Trung</t>
  </si>
  <si>
    <t>Xã Hố Nai 3</t>
  </si>
  <si>
    <t>Xã Bắc Sơn</t>
  </si>
  <si>
    <t>Xã Bình Minh</t>
  </si>
  <si>
    <t>Xã Giang Điền</t>
  </si>
  <si>
    <t>Xã Quảng Tiến</t>
  </si>
  <si>
    <t>Xã Sông Trầu</t>
  </si>
  <si>
    <t>Xã Đồi 61</t>
  </si>
  <si>
    <t>Xã An Viễn</t>
  </si>
  <si>
    <t>Xã Tây Hòa</t>
  </si>
  <si>
    <t>Xã Trung Hòa</t>
  </si>
  <si>
    <t>Xã Đông Hòa</t>
  </si>
  <si>
    <t>Xã Hưng Thịnh</t>
  </si>
  <si>
    <t>Xã Sông Thao</t>
  </si>
  <si>
    <t>Xã Bàu Hàm</t>
  </si>
  <si>
    <t>Xã Hưng Lộc</t>
  </si>
  <si>
    <t>Xã Lộ 25</t>
  </si>
  <si>
    <t>Xã Bàu Hàm 2</t>
  </si>
  <si>
    <t>DỰ KIẾN KHỐI LƯỢNG ĐẦU TƯ CẤP ĐIỆN</t>
  </si>
  <si>
    <t>Thành phố, thị xã, huyện</t>
  </si>
  <si>
    <t>Tổng số xã</t>
  </si>
  <si>
    <t xml:space="preserve">trên địa </t>
  </si>
  <si>
    <t>bàn cấp</t>
  </si>
  <si>
    <t>huyện</t>
  </si>
  <si>
    <t xml:space="preserve">Số xã được </t>
  </si>
  <si>
    <t>chọn xây</t>
  </si>
  <si>
    <t>dựng nông</t>
  </si>
  <si>
    <t>thông mới</t>
  </si>
  <si>
    <t>Tên xã được chọn</t>
  </si>
  <si>
    <t xml:space="preserve">Cải </t>
  </si>
  <si>
    <t>tạo</t>
  </si>
  <si>
    <t>Xây</t>
  </si>
  <si>
    <t>dựng</t>
  </si>
  <si>
    <t>mới</t>
  </si>
  <si>
    <t>kVA</t>
  </si>
  <si>
    <t>Xây dựng mới</t>
  </si>
  <si>
    <t>Số</t>
  </si>
  <si>
    <t>trạm</t>
  </si>
  <si>
    <t>mức</t>
  </si>
  <si>
    <t>đầu</t>
  </si>
  <si>
    <t>tư</t>
  </si>
  <si>
    <t>(triệu đồng)</t>
  </si>
  <si>
    <t>Số hộ</t>
  </si>
  <si>
    <t>dự kiến</t>
  </si>
  <si>
    <t>cấp điện</t>
  </si>
  <si>
    <t>Năm dự kiến</t>
  </si>
  <si>
    <t>hoàn thành</t>
  </si>
  <si>
    <t>tiêu chí</t>
  </si>
  <si>
    <t>(năm)</t>
  </si>
  <si>
    <t>CHO CÁC XÃ ĐƯỢC CHỌN XÂY DỰNG NÔNG THÔN MỚI GIAI ĐOẠN 2011-2020</t>
  </si>
  <si>
    <t>GIAI ĐOẠN 2011-2015</t>
  </si>
  <si>
    <t>GIAI ĐOẠN 2016-2020</t>
  </si>
  <si>
    <t xml:space="preserve">Tổng công giai đoạn </t>
  </si>
  <si>
    <t>2016-2020</t>
  </si>
  <si>
    <t>2011-2015</t>
  </si>
  <si>
    <t>TÌNH HÌNH CẤP ĐIỆN CHO CÁC XÃ ĐƯỢC CHỌN XÂY DỰNG NÔNG THÔN MỚI GIAI ĐOẠN 2011-2020</t>
  </si>
  <si>
    <t xml:space="preserve">trung </t>
  </si>
  <si>
    <t>Trạm</t>
  </si>
  <si>
    <t>Dung</t>
  </si>
  <si>
    <t>hạ</t>
  </si>
  <si>
    <t>Số công cơ</t>
  </si>
  <si>
    <t>áp</t>
  </si>
  <si>
    <t>Đường dây hạ áp</t>
  </si>
  <si>
    <t>Điện năng tiêu thụ bình quân (kWh/tháng)</t>
  </si>
  <si>
    <t>Tại</t>
  </si>
  <si>
    <t>công tơ</t>
  </si>
  <si>
    <t>tổng</t>
  </si>
  <si>
    <t>(kwh/tháng)</t>
  </si>
  <si>
    <t xml:space="preserve">Sinh </t>
  </si>
  <si>
    <t>hoạt</t>
  </si>
  <si>
    <t>SX</t>
  </si>
  <si>
    <t>KD</t>
  </si>
  <si>
    <t>năng</t>
  </si>
  <si>
    <t>Tổng số hộ dân có điện</t>
  </si>
  <si>
    <t>Ngành điện</t>
  </si>
  <si>
    <t>Tổ chức</t>
  </si>
  <si>
    <t>ĐNT quản</t>
  </si>
  <si>
    <t>Tỷ lệ</t>
  </si>
  <si>
    <t>pha</t>
  </si>
  <si>
    <t>Tân Hạnh</t>
  </si>
  <si>
    <t>Hiệp Hoà</t>
  </si>
  <si>
    <t>Hoá An</t>
  </si>
  <si>
    <t>Tam Phước</t>
  </si>
  <si>
    <t>An Hoà</t>
  </si>
  <si>
    <t>Phước Tân</t>
  </si>
  <si>
    <t xml:space="preserve">Long Hưng </t>
  </si>
  <si>
    <t>TP. Biên Hòa</t>
  </si>
  <si>
    <t>TX Long Khánh</t>
  </si>
  <si>
    <t>Bình Lộc</t>
  </si>
  <si>
    <t>Bảo Quang</t>
  </si>
  <si>
    <t>Suối Tre</t>
  </si>
  <si>
    <t>Bảo Vinh</t>
  </si>
  <si>
    <t>Xuân Lập</t>
  </si>
  <si>
    <t>Bàu Sen</t>
  </si>
  <si>
    <t>Bàu Trâm</t>
  </si>
  <si>
    <t>Xuân Tân</t>
  </si>
  <si>
    <t>Hàng Gòn</t>
  </si>
  <si>
    <t>Bàu Hàm</t>
  </si>
  <si>
    <t>Sông Thao</t>
  </si>
  <si>
    <t>Sông Trầu</t>
  </si>
  <si>
    <t>Đông Hòa</t>
  </si>
  <si>
    <t>Bắc Sơn</t>
  </si>
  <si>
    <t>Hố Nai 3</t>
  </si>
  <si>
    <t>Tây Hòa</t>
  </si>
  <si>
    <t>Bình Minh</t>
  </si>
  <si>
    <t>Trung Hòa</t>
  </si>
  <si>
    <t>Đồi 61</t>
  </si>
  <si>
    <t>Hưng Thịnh</t>
  </si>
  <si>
    <t>Quảng Tiến</t>
  </si>
  <si>
    <t>Giang Điền</t>
  </si>
  <si>
    <t>An Viễn</t>
  </si>
  <si>
    <t>Thanh Bình</t>
  </si>
  <si>
    <t>Cây Gáo</t>
  </si>
  <si>
    <t>Bàu Hàm 2</t>
  </si>
  <si>
    <t>Hưng Lộc</t>
  </si>
  <si>
    <t>Lộ 25</t>
  </si>
  <si>
    <t>Xuân Thiện</t>
  </si>
  <si>
    <t>Xuân Thạnh</t>
  </si>
  <si>
    <t>Gia Tân 1</t>
  </si>
  <si>
    <t>Gia Tân 2</t>
  </si>
  <si>
    <t>Gia Tân 3</t>
  </si>
  <si>
    <t>Gia Kiệm</t>
  </si>
  <si>
    <t>Quang Trung</t>
  </si>
  <si>
    <t>Phú Lý</t>
  </si>
  <si>
    <t>Trị An</t>
  </si>
  <si>
    <t>Tân An</t>
  </si>
  <si>
    <t>Vĩnh Tân</t>
  </si>
  <si>
    <t>Bình Lợi</t>
  </si>
  <si>
    <t>Thạnh Phú</t>
  </si>
  <si>
    <t>Thiện Tân</t>
  </si>
  <si>
    <t>Tân Bình</t>
  </si>
  <si>
    <t>Bình Hòa</t>
  </si>
  <si>
    <t>Mã Đà</t>
  </si>
  <si>
    <t>Hiếu Liêm</t>
  </si>
  <si>
    <t>Sông Nhạn</t>
  </si>
  <si>
    <t>Xuân Quế</t>
  </si>
  <si>
    <t>Nhân Nghĩa</t>
  </si>
  <si>
    <t>Xuân Đường</t>
  </si>
  <si>
    <t>Long Giao</t>
  </si>
  <si>
    <t>Xuân Mỹ</t>
  </si>
  <si>
    <t>Thừa Đức</t>
  </si>
  <si>
    <t>Bảo Bình</t>
  </si>
  <si>
    <t>Xuân Bảo</t>
  </si>
  <si>
    <t>Xuân Tây</t>
  </si>
  <si>
    <t>Xuân Đông</t>
  </si>
  <si>
    <t>Sông Ray</t>
  </si>
  <si>
    <t>Lâm San</t>
  </si>
  <si>
    <t>Xuân Bắc</t>
  </si>
  <si>
    <t>Suối Cao</t>
  </si>
  <si>
    <t>Xuân Thành</t>
  </si>
  <si>
    <t>Xuân Thọ</t>
  </si>
  <si>
    <t>Xuân Trường</t>
  </si>
  <si>
    <t>Xuân Hòa</t>
  </si>
  <si>
    <t>Xuân Hưng</t>
  </si>
  <si>
    <t>Xuân Tâm</t>
  </si>
  <si>
    <t>Suối Cát</t>
  </si>
  <si>
    <t>Xuân Hiệp</t>
  </si>
  <si>
    <t>Xuân Phú</t>
  </si>
  <si>
    <t>Xuân Định</t>
  </si>
  <si>
    <t>Bảo Hoà</t>
  </si>
  <si>
    <t>Lang Minh</t>
  </si>
  <si>
    <t>Đaklua</t>
  </si>
  <si>
    <t>Nam Cát Tiên</t>
  </si>
  <si>
    <t>Phú An</t>
  </si>
  <si>
    <t>Núi Tượng</t>
  </si>
  <si>
    <t>Tà Lài</t>
  </si>
  <si>
    <t>Phú Lập</t>
  </si>
  <si>
    <t>Phú Sơn</t>
  </si>
  <si>
    <t>Phú Thịnh</t>
  </si>
  <si>
    <t>Thanh Sơn</t>
  </si>
  <si>
    <t>Phú Trung</t>
  </si>
  <si>
    <t>Phú Xuân</t>
  </si>
  <si>
    <t>Phú Lộc</t>
  </si>
  <si>
    <t>Phú Lâm</t>
  </si>
  <si>
    <t>Phú Bình</t>
  </si>
  <si>
    <t>Phú Thanh</t>
  </si>
  <si>
    <t>Trà Cổ</t>
  </si>
  <si>
    <t>Phú Điền</t>
  </si>
  <si>
    <t>Phú Tân</t>
  </si>
  <si>
    <t>Phú Vinh</t>
  </si>
  <si>
    <t>Phú Lợi</t>
  </si>
  <si>
    <t>Phú Hòa</t>
  </si>
  <si>
    <t>Ngọc Định</t>
  </si>
  <si>
    <t>La Ngà</t>
  </si>
  <si>
    <t>Gia Canh</t>
  </si>
  <si>
    <t>Phú Ngọc</t>
  </si>
  <si>
    <t>Phú Cường</t>
  </si>
  <si>
    <t>Túc Trưng</t>
  </si>
  <si>
    <t>Phú Túc</t>
  </si>
  <si>
    <t>Suối Nho</t>
  </si>
  <si>
    <t>An Phước</t>
  </si>
  <si>
    <t>Bình An</t>
  </si>
  <si>
    <t>Long Đức</t>
  </si>
  <si>
    <t xml:space="preserve">Lộc An </t>
  </si>
  <si>
    <t>Bình Sơn</t>
  </si>
  <si>
    <t xml:space="preserve">Tam An </t>
  </si>
  <si>
    <t>Cẩm Đường</t>
  </si>
  <si>
    <t xml:space="preserve">Long An </t>
  </si>
  <si>
    <t>Suối Trầu</t>
  </si>
  <si>
    <t>Bàu Cạn</t>
  </si>
  <si>
    <t>Long Phước</t>
  </si>
  <si>
    <t>Phước Bình</t>
  </si>
  <si>
    <t>Tân Hiệp</t>
  </si>
  <si>
    <t>Phước Thái</t>
  </si>
  <si>
    <t>Phước Thiền</t>
  </si>
  <si>
    <t>Long Tân</t>
  </si>
  <si>
    <t>Đại Phước</t>
  </si>
  <si>
    <t>Hiệp Phước</t>
  </si>
  <si>
    <t>Phú Hữu</t>
  </si>
  <si>
    <t>Phú Hội</t>
  </si>
  <si>
    <t>Phú Thạnh</t>
  </si>
  <si>
    <t>Phú Đông</t>
  </si>
  <si>
    <t>Long Thọ</t>
  </si>
  <si>
    <t>Vĩnh Thanh</t>
  </si>
  <si>
    <t>Phước Khánh</t>
  </si>
  <si>
    <t>Phước An</t>
  </si>
  <si>
    <t>Phụ lục 1a</t>
  </si>
  <si>
    <t>Phụ lục 1b</t>
  </si>
  <si>
    <t>Phụ lục 2a</t>
  </si>
  <si>
    <t xml:space="preserve"> TỔNG CÔNG TY ĐIỆN LỰC MIỀN NAM</t>
  </si>
  <si>
    <t>Phụ lục 2b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</si>
</sst>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#,##0.000"/>
    <numFmt numFmtId="173" formatCode="0.0000000"/>
    <numFmt numFmtId="174" formatCode="0.00000000"/>
    <numFmt numFmtId="175" formatCode="0.000000000"/>
  </numFmts>
  <fonts count="3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8" fillId="0" borderId="16" xfId="0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2" fontId="8" fillId="0" borderId="24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2" fontId="2" fillId="0" borderId="33" xfId="0" applyNumberFormat="1" applyFont="1" applyBorder="1" applyAlignment="1">
      <alignment horizontal="right" vertical="center" wrapText="1"/>
    </xf>
    <xf numFmtId="2" fontId="8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2" fontId="9" fillId="0" borderId="13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66" fontId="2" fillId="0" borderId="3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169" fontId="2" fillId="0" borderId="36" xfId="42" applyNumberFormat="1" applyFont="1" applyBorder="1" applyAlignment="1">
      <alignment horizontal="right" vertical="center"/>
    </xf>
    <xf numFmtId="170" fontId="2" fillId="0" borderId="36" xfId="42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6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9" fontId="2" fillId="0" borderId="13" xfId="42" applyNumberFormat="1" applyFont="1" applyBorder="1" applyAlignment="1">
      <alignment horizontal="right" vertical="center"/>
    </xf>
    <xf numFmtId="170" fontId="2" fillId="0" borderId="13" xfId="42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9" fontId="2" fillId="0" borderId="13" xfId="42" applyNumberFormat="1" applyFont="1" applyBorder="1" applyAlignment="1">
      <alignment vertical="center"/>
    </xf>
    <xf numFmtId="170" fontId="2" fillId="0" borderId="13" xfId="42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70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71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/>
    </xf>
    <xf numFmtId="171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166" fontId="2" fillId="0" borderId="33" xfId="0" applyNumberFormat="1" applyFont="1" applyBorder="1" applyAlignment="1">
      <alignment/>
    </xf>
    <xf numFmtId="171" fontId="2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71" fontId="2" fillId="0" borderId="13" xfId="0" applyNumberFormat="1" applyFont="1" applyFill="1" applyBorder="1" applyAlignment="1">
      <alignment horizontal="right" vertical="center" wrapText="1"/>
    </xf>
    <xf numFmtId="3" fontId="13" fillId="0" borderId="13" xfId="55" applyNumberFormat="1" applyFont="1" applyFill="1" applyBorder="1" applyAlignment="1">
      <alignment horizontal="right" vertical="center" wrapText="1"/>
      <protection/>
    </xf>
    <xf numFmtId="3" fontId="2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3" fillId="0" borderId="13" xfId="55" applyFont="1" applyFill="1" applyBorder="1" applyAlignment="1">
      <alignment vertical="center" wrapText="1"/>
      <protection/>
    </xf>
    <xf numFmtId="0" fontId="14" fillId="0" borderId="13" xfId="55" applyFont="1" applyFill="1" applyBorder="1" applyAlignment="1">
      <alignment vertical="center" wrapText="1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0" fontId="14" fillId="0" borderId="13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left"/>
    </xf>
    <xf numFmtId="166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9" fontId="2" fillId="0" borderId="13" xfId="42" applyNumberFormat="1" applyFont="1" applyBorder="1" applyAlignment="1">
      <alignment horizontal="right"/>
    </xf>
    <xf numFmtId="170" fontId="2" fillId="0" borderId="13" xfId="42" applyNumberFormat="1" applyFont="1" applyBorder="1" applyAlignment="1">
      <alignment horizontal="right"/>
    </xf>
    <xf numFmtId="43" fontId="2" fillId="0" borderId="13" xfId="42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2" fontId="2" fillId="0" borderId="13" xfId="42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33" xfId="55" applyFont="1" applyFill="1" applyBorder="1" applyAlignment="1">
      <alignment vertical="center" wrapText="1"/>
      <protection/>
    </xf>
    <xf numFmtId="3" fontId="2" fillId="0" borderId="33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71" fontId="2" fillId="0" borderId="33" xfId="0" applyNumberFormat="1" applyFont="1" applyFill="1" applyBorder="1" applyAlignment="1">
      <alignment horizontal="right" vertical="center" wrapText="1"/>
    </xf>
    <xf numFmtId="3" fontId="13" fillId="0" borderId="33" xfId="55" applyNumberFormat="1" applyFont="1" applyFill="1" applyBorder="1" applyAlignment="1">
      <alignment horizontal="right" vertical="center" wrapText="1"/>
      <protection/>
    </xf>
    <xf numFmtId="3" fontId="2" fillId="0" borderId="33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 wrapText="1"/>
    </xf>
    <xf numFmtId="2" fontId="2" fillId="0" borderId="3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14" fillId="0" borderId="14" xfId="55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172" fontId="8" fillId="0" borderId="14" xfId="0" applyNumberFormat="1" applyFont="1" applyFill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 vertical="center" wrapText="1"/>
    </xf>
    <xf numFmtId="171" fontId="2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6" fontId="2" fillId="0" borderId="13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7" fillId="0" borderId="4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7" xfId="0" applyFont="1" applyBorder="1" applyAlignment="1">
      <alignment/>
    </xf>
    <xf numFmtId="4" fontId="8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7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42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3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44" xfId="0" applyFont="1" applyBorder="1" applyAlignment="1">
      <alignment/>
    </xf>
    <xf numFmtId="166" fontId="9" fillId="0" borderId="13" xfId="0" applyNumberFormat="1" applyFont="1" applyBorder="1" applyAlignment="1">
      <alignment vertical="center"/>
    </xf>
    <xf numFmtId="169" fontId="9" fillId="0" borderId="13" xfId="42" applyNumberFormat="1" applyFont="1" applyBorder="1" applyAlignment="1">
      <alignment vertical="center"/>
    </xf>
    <xf numFmtId="0" fontId="9" fillId="0" borderId="0" xfId="0" applyFont="1" applyAlignment="1">
      <alignment/>
    </xf>
    <xf numFmtId="166" fontId="9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169" fontId="9" fillId="0" borderId="36" xfId="42" applyNumberFormat="1" applyFont="1" applyBorder="1" applyAlignment="1">
      <alignment horizontal="right" vertical="center"/>
    </xf>
    <xf numFmtId="166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69" fontId="9" fillId="0" borderId="13" xfId="42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/>
    </xf>
    <xf numFmtId="170" fontId="9" fillId="0" borderId="13" xfId="42" applyNumberFormat="1" applyFont="1" applyBorder="1" applyAlignment="1">
      <alignment horizontal="right"/>
    </xf>
    <xf numFmtId="169" fontId="9" fillId="0" borderId="13" xfId="42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170" fontId="9" fillId="0" borderId="13" xfId="42" applyNumberFormat="1" applyFont="1" applyBorder="1" applyAlignment="1">
      <alignment vertical="center"/>
    </xf>
    <xf numFmtId="170" fontId="9" fillId="0" borderId="36" xfId="42" applyNumberFormat="1" applyFont="1" applyBorder="1" applyAlignment="1">
      <alignment horizontal="right" vertical="center"/>
    </xf>
    <xf numFmtId="170" fontId="9" fillId="0" borderId="13" xfId="42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36" xfId="0" applyFont="1" applyBorder="1" applyAlignment="1">
      <alignment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171" fontId="2" fillId="0" borderId="36" xfId="0" applyNumberFormat="1" applyFont="1" applyBorder="1" applyAlignment="1">
      <alignment vertical="center"/>
    </xf>
    <xf numFmtId="0" fontId="9" fillId="0" borderId="38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37" xfId="0" applyFont="1" applyBorder="1" applyAlignment="1">
      <alignment horizontal="right"/>
    </xf>
    <xf numFmtId="169" fontId="9" fillId="0" borderId="37" xfId="42" applyNumberFormat="1" applyFont="1" applyBorder="1" applyAlignment="1">
      <alignment horizontal="right"/>
    </xf>
    <xf numFmtId="170" fontId="9" fillId="0" borderId="37" xfId="42" applyNumberFormat="1" applyFont="1" applyBorder="1" applyAlignment="1">
      <alignment horizontal="right"/>
    </xf>
    <xf numFmtId="170" fontId="2" fillId="0" borderId="37" xfId="42" applyNumberFormat="1" applyFont="1" applyBorder="1" applyAlignment="1">
      <alignment horizontal="right"/>
    </xf>
    <xf numFmtId="43" fontId="2" fillId="0" borderId="37" xfId="42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/>
    </xf>
    <xf numFmtId="2" fontId="2" fillId="0" borderId="37" xfId="0" applyNumberFormat="1" applyFont="1" applyBorder="1" applyAlignment="1">
      <alignment horizontal="right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171" fontId="2" fillId="0" borderId="37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36" xfId="0" applyNumberFormat="1" applyFont="1" applyBorder="1" applyAlignment="1">
      <alignment/>
    </xf>
    <xf numFmtId="166" fontId="9" fillId="0" borderId="37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6" fontId="9" fillId="0" borderId="52" xfId="0" applyNumberFormat="1" applyFont="1" applyBorder="1" applyAlignment="1">
      <alignment/>
    </xf>
    <xf numFmtId="166" fontId="9" fillId="0" borderId="24" xfId="0" applyNumberFormat="1" applyFont="1" applyBorder="1" applyAlignment="1">
      <alignment/>
    </xf>
    <xf numFmtId="171" fontId="9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166" fontId="9" fillId="0" borderId="36" xfId="0" applyNumberFormat="1" applyFont="1" applyBorder="1" applyAlignment="1">
      <alignment/>
    </xf>
    <xf numFmtId="0" fontId="6" fillId="0" borderId="37" xfId="0" applyFont="1" applyBorder="1" applyAlignment="1">
      <alignment vertical="center" wrapText="1"/>
    </xf>
    <xf numFmtId="164" fontId="9" fillId="0" borderId="37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71" fontId="2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171" fontId="9" fillId="0" borderId="47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2" fillId="0" borderId="37" xfId="0" applyFont="1" applyFill="1" applyBorder="1" applyAlignment="1">
      <alignment horizontal="left" vertical="center" wrapText="1"/>
    </xf>
    <xf numFmtId="171" fontId="9" fillId="0" borderId="46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0" fontId="16" fillId="0" borderId="13" xfId="55" applyFont="1" applyFill="1" applyBorder="1" applyAlignment="1">
      <alignment vertical="center" wrapText="1"/>
      <protection/>
    </xf>
    <xf numFmtId="0" fontId="17" fillId="0" borderId="13" xfId="55" applyFont="1" applyFill="1" applyBorder="1" applyAlignment="1">
      <alignment vertical="center" wrapText="1"/>
      <protection/>
    </xf>
    <xf numFmtId="0" fontId="13" fillId="0" borderId="37" xfId="55" applyFont="1" applyFill="1" applyBorder="1" applyAlignment="1">
      <alignment vertical="center" wrapText="1"/>
      <protection/>
    </xf>
    <xf numFmtId="172" fontId="2" fillId="0" borderId="37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171" fontId="2" fillId="0" borderId="37" xfId="0" applyNumberFormat="1" applyFont="1" applyFill="1" applyBorder="1" applyAlignment="1">
      <alignment horizontal="right" vertical="center" wrapText="1"/>
    </xf>
    <xf numFmtId="3" fontId="13" fillId="0" borderId="37" xfId="55" applyNumberFormat="1" applyFont="1" applyFill="1" applyBorder="1" applyAlignment="1">
      <alignment horizontal="right" vertical="center" wrapText="1"/>
      <protection/>
    </xf>
    <xf numFmtId="3" fontId="2" fillId="0" borderId="37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 wrapText="1"/>
    </xf>
    <xf numFmtId="172" fontId="2" fillId="0" borderId="37" xfId="0" applyNumberFormat="1" applyFont="1" applyBorder="1" applyAlignment="1">
      <alignment horizontal="right" vertical="center" wrapText="1"/>
    </xf>
    <xf numFmtId="171" fontId="2" fillId="0" borderId="37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left"/>
    </xf>
    <xf numFmtId="166" fontId="2" fillId="0" borderId="37" xfId="0" applyNumberFormat="1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2" fillId="0" borderId="36" xfId="0" applyNumberFormat="1" applyFont="1" applyBorder="1" applyAlignment="1">
      <alignment horizontal="right" vertical="center" wrapText="1"/>
    </xf>
    <xf numFmtId="3" fontId="8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4" fontId="8" fillId="0" borderId="14" xfId="0" applyNumberFormat="1" applyFont="1" applyBorder="1" applyAlignment="1">
      <alignment horizontal="right" vertical="center" wrapText="1"/>
    </xf>
    <xf numFmtId="171" fontId="7" fillId="0" borderId="42" xfId="0" applyNumberFormat="1" applyFont="1" applyBorder="1" applyAlignment="1">
      <alignment/>
    </xf>
    <xf numFmtId="172" fontId="7" fillId="0" borderId="4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72" fontId="7" fillId="0" borderId="14" xfId="0" applyNumberFormat="1" applyFont="1" applyBorder="1" applyAlignment="1">
      <alignment/>
    </xf>
    <xf numFmtId="171" fontId="8" fillId="0" borderId="14" xfId="0" applyNumberFormat="1" applyFont="1" applyFill="1" applyBorder="1" applyAlignment="1">
      <alignment horizontal="right" vertical="center" wrapText="1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166" fontId="2" fillId="0" borderId="15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3" fillId="0" borderId="36" xfId="55" applyFont="1" applyFill="1" applyBorder="1" applyAlignment="1">
      <alignment vertical="center" wrapText="1"/>
      <protection/>
    </xf>
    <xf numFmtId="172" fontId="2" fillId="0" borderId="36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171" fontId="2" fillId="0" borderId="36" xfId="0" applyNumberFormat="1" applyFont="1" applyFill="1" applyBorder="1" applyAlignment="1">
      <alignment horizontal="right" vertical="center" wrapText="1"/>
    </xf>
    <xf numFmtId="3" fontId="13" fillId="0" borderId="36" xfId="55" applyNumberFormat="1" applyFont="1" applyFill="1" applyBorder="1" applyAlignment="1">
      <alignment horizontal="right" vertical="center" wrapText="1"/>
      <protection/>
    </xf>
    <xf numFmtId="3" fontId="2" fillId="0" borderId="36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/>
    </xf>
    <xf numFmtId="0" fontId="9" fillId="0" borderId="53" xfId="0" applyFont="1" applyBorder="1" applyAlignment="1">
      <alignment/>
    </xf>
    <xf numFmtId="4" fontId="9" fillId="0" borderId="37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0" fontId="9" fillId="0" borderId="54" xfId="0" applyFont="1" applyBorder="1" applyAlignment="1">
      <alignment/>
    </xf>
    <xf numFmtId="0" fontId="2" fillId="0" borderId="36" xfId="0" applyFont="1" applyBorder="1" applyAlignment="1">
      <alignment horizontal="left"/>
    </xf>
    <xf numFmtId="166" fontId="2" fillId="0" borderId="36" xfId="0" applyNumberFormat="1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169" fontId="2" fillId="0" borderId="36" xfId="42" applyNumberFormat="1" applyFont="1" applyBorder="1" applyAlignment="1">
      <alignment horizontal="right"/>
    </xf>
    <xf numFmtId="170" fontId="2" fillId="0" borderId="36" xfId="42" applyNumberFormat="1" applyFont="1" applyBorder="1" applyAlignment="1">
      <alignment horizontal="right"/>
    </xf>
    <xf numFmtId="43" fontId="2" fillId="0" borderId="36" xfId="42" applyNumberFormat="1" applyFont="1" applyBorder="1" applyAlignment="1">
      <alignment horizontal="right"/>
    </xf>
    <xf numFmtId="172" fontId="2" fillId="0" borderId="37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37" xfId="0" applyFont="1" applyBorder="1" applyAlignment="1">
      <alignment wrapText="1"/>
    </xf>
    <xf numFmtId="0" fontId="9" fillId="0" borderId="37" xfId="0" applyFont="1" applyBorder="1" applyAlignment="1">
      <alignment vertical="center"/>
    </xf>
    <xf numFmtId="166" fontId="9" fillId="0" borderId="37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2" fontId="9" fillId="0" borderId="37" xfId="0" applyNumberFormat="1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72" fontId="2" fillId="0" borderId="36" xfId="0" applyNumberFormat="1" applyFont="1" applyBorder="1" applyAlignment="1">
      <alignment horizontal="right" vertical="center" wrapText="1"/>
    </xf>
    <xf numFmtId="171" fontId="2" fillId="0" borderId="36" xfId="0" applyNumberFormat="1" applyFont="1" applyBorder="1" applyAlignment="1">
      <alignment horizontal="right" vertical="center" wrapText="1"/>
    </xf>
    <xf numFmtId="4" fontId="2" fillId="0" borderId="36" xfId="0" applyNumberFormat="1" applyFont="1" applyBorder="1" applyAlignment="1">
      <alignment horizontal="right" vertical="center" wrapText="1"/>
    </xf>
    <xf numFmtId="166" fontId="2" fillId="0" borderId="46" xfId="0" applyNumberFormat="1" applyFont="1" applyBorder="1" applyAlignment="1">
      <alignment horizontal="right"/>
    </xf>
    <xf numFmtId="170" fontId="2" fillId="0" borderId="46" xfId="42" applyNumberFormat="1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3" fontId="2" fillId="0" borderId="46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3" fontId="9" fillId="0" borderId="38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0" borderId="49" xfId="0" applyFont="1" applyBorder="1" applyAlignment="1">
      <alignment/>
    </xf>
    <xf numFmtId="166" fontId="2" fillId="0" borderId="4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8" fillId="0" borderId="37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/>
    </xf>
    <xf numFmtId="166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166" fontId="2" fillId="0" borderId="47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2" fillId="0" borderId="40" xfId="0" applyFont="1" applyBorder="1" applyAlignment="1">
      <alignment/>
    </xf>
    <xf numFmtId="1" fontId="2" fillId="0" borderId="13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/>
    </xf>
    <xf numFmtId="166" fontId="2" fillId="0" borderId="36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8" fillId="0" borderId="36" xfId="0" applyNumberFormat="1" applyFont="1" applyBorder="1" applyAlignment="1">
      <alignment/>
    </xf>
    <xf numFmtId="171" fontId="8" fillId="0" borderId="36" xfId="0" applyNumberFormat="1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3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right"/>
    </xf>
    <xf numFmtId="166" fontId="9" fillId="0" borderId="3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72" fontId="2" fillId="0" borderId="13" xfId="0" applyNumberFormat="1" applyFont="1" applyBorder="1" applyAlignment="1">
      <alignment/>
    </xf>
    <xf numFmtId="2" fontId="2" fillId="0" borderId="0" xfId="0" applyNumberFormat="1" applyFont="1" applyFill="1" applyAlignment="1">
      <alignment vertical="center"/>
    </xf>
    <xf numFmtId="166" fontId="2" fillId="0" borderId="44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1" fontId="2" fillId="0" borderId="44" xfId="0" applyNumberFormat="1" applyFont="1" applyBorder="1" applyAlignment="1">
      <alignment/>
    </xf>
    <xf numFmtId="0" fontId="15" fillId="0" borderId="53" xfId="0" applyFont="1" applyBorder="1" applyAlignment="1">
      <alignment/>
    </xf>
    <xf numFmtId="166" fontId="2" fillId="0" borderId="47" xfId="0" applyNumberFormat="1" applyFont="1" applyFill="1" applyBorder="1" applyAlignment="1">
      <alignment/>
    </xf>
    <xf numFmtId="166" fontId="2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6" fontId="2" fillId="0" borderId="36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166" fontId="2" fillId="0" borderId="3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66" fontId="2" fillId="0" borderId="43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right" vertical="center"/>
    </xf>
    <xf numFmtId="166" fontId="2" fillId="0" borderId="17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8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3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11" xfId="55" applyFont="1" applyFill="1" applyBorder="1" applyAlignment="1">
      <alignment horizontal="left" vertical="center" wrapText="1"/>
      <protection/>
    </xf>
    <xf numFmtId="0" fontId="14" fillId="0" borderId="36" xfId="55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7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4" fillId="0" borderId="10" xfId="55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85725</xdr:rowOff>
    </xdr:from>
    <xdr:to>
      <xdr:col>2</xdr:col>
      <xdr:colOff>257175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885825" y="571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66675</xdr:rowOff>
    </xdr:from>
    <xdr:to>
      <xdr:col>2</xdr:col>
      <xdr:colOff>590550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790575" y="5524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133350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400050" y="685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57150</xdr:rowOff>
    </xdr:from>
    <xdr:to>
      <xdr:col>3</xdr:col>
      <xdr:colOff>190500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781050" y="5429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57421875" style="1" customWidth="1"/>
    <col min="2" max="2" width="23.00390625" style="2" customWidth="1"/>
    <col min="3" max="5" width="8.28125" style="1" customWidth="1"/>
    <col min="6" max="6" width="8.00390625" style="1" customWidth="1"/>
    <col min="7" max="7" width="8.7109375" style="1" customWidth="1"/>
    <col min="8" max="8" width="7.00390625" style="1" customWidth="1"/>
    <col min="9" max="9" width="6.421875" style="1" customWidth="1"/>
    <col min="10" max="10" width="7.421875" style="1" customWidth="1"/>
    <col min="11" max="11" width="8.421875" style="1" customWidth="1"/>
    <col min="12" max="12" width="8.8515625" style="1" customWidth="1"/>
    <col min="13" max="13" width="9.57421875" style="1" customWidth="1"/>
    <col min="14" max="14" width="9.7109375" style="1" customWidth="1"/>
    <col min="15" max="15" width="9.140625" style="1" customWidth="1"/>
    <col min="16" max="16" width="0.5625" style="1" hidden="1" customWidth="1"/>
    <col min="17" max="16384" width="9.140625" style="1" customWidth="1"/>
  </cols>
  <sheetData>
    <row r="1" spans="1:14" ht="12.75">
      <c r="A1" s="40"/>
      <c r="B1" s="41" t="s">
        <v>178</v>
      </c>
      <c r="N1" s="9" t="s">
        <v>559</v>
      </c>
    </row>
    <row r="2" spans="1:2" ht="12.75">
      <c r="A2" s="41"/>
      <c r="B2" s="41" t="s">
        <v>179</v>
      </c>
    </row>
    <row r="3" spans="1:2" ht="12.75">
      <c r="A3" s="40"/>
      <c r="B3" s="41" t="s">
        <v>180</v>
      </c>
    </row>
    <row r="4" ht="15.75">
      <c r="A4" s="15"/>
    </row>
    <row r="5" ht="15.75">
      <c r="A5" s="15"/>
    </row>
    <row r="6" spans="1:15" ht="18.75">
      <c r="A6" s="485" t="s">
        <v>175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</row>
    <row r="7" spans="1:15" ht="18.75">
      <c r="A7" s="485" t="s">
        <v>176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</row>
    <row r="8" spans="1:15" ht="18.75">
      <c r="A8" s="485" t="s">
        <v>177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</row>
    <row r="9" ht="16.5" thickBot="1">
      <c r="A9" s="15"/>
    </row>
    <row r="10" spans="1:15" ht="20.25" customHeight="1">
      <c r="A10" s="486" t="s">
        <v>0</v>
      </c>
      <c r="B10" s="492" t="s">
        <v>1</v>
      </c>
      <c r="C10" s="494" t="s">
        <v>154</v>
      </c>
      <c r="D10" s="495"/>
      <c r="E10" s="496"/>
      <c r="F10" s="494" t="s">
        <v>3</v>
      </c>
      <c r="G10" s="495"/>
      <c r="H10" s="495"/>
      <c r="I10" s="495"/>
      <c r="J10" s="495"/>
      <c r="K10" s="495"/>
      <c r="L10" s="494" t="s">
        <v>158</v>
      </c>
      <c r="M10" s="495"/>
      <c r="N10" s="496"/>
      <c r="O10" s="33" t="s">
        <v>171</v>
      </c>
    </row>
    <row r="11" spans="1:15" ht="15.75" customHeight="1">
      <c r="A11" s="487"/>
      <c r="B11" s="491"/>
      <c r="C11" s="479" t="s">
        <v>2</v>
      </c>
      <c r="D11" s="479" t="s">
        <v>155</v>
      </c>
      <c r="E11" s="479" t="s">
        <v>156</v>
      </c>
      <c r="F11" s="498" t="s">
        <v>4</v>
      </c>
      <c r="G11" s="497"/>
      <c r="H11" s="497" t="s">
        <v>155</v>
      </c>
      <c r="I11" s="497"/>
      <c r="J11" s="498" t="s">
        <v>156</v>
      </c>
      <c r="K11" s="478"/>
      <c r="L11" s="3" t="s">
        <v>159</v>
      </c>
      <c r="M11" s="16" t="s">
        <v>162</v>
      </c>
      <c r="N11" s="489" t="s">
        <v>165</v>
      </c>
      <c r="O11" s="34" t="s">
        <v>172</v>
      </c>
    </row>
    <row r="12" spans="1:15" ht="19.5" customHeight="1">
      <c r="A12" s="488"/>
      <c r="B12" s="493"/>
      <c r="C12" s="480"/>
      <c r="D12" s="480"/>
      <c r="E12" s="480"/>
      <c r="F12" s="489" t="s">
        <v>157</v>
      </c>
      <c r="G12" s="489" t="s">
        <v>5</v>
      </c>
      <c r="H12" s="489" t="s">
        <v>157</v>
      </c>
      <c r="I12" s="489" t="s">
        <v>5</v>
      </c>
      <c r="J12" s="489" t="s">
        <v>157</v>
      </c>
      <c r="K12" s="489" t="s">
        <v>5</v>
      </c>
      <c r="L12" s="4" t="s">
        <v>160</v>
      </c>
      <c r="M12" s="16" t="s">
        <v>163</v>
      </c>
      <c r="N12" s="490"/>
      <c r="O12" s="34" t="s">
        <v>173</v>
      </c>
    </row>
    <row r="13" spans="1:15" ht="18.75" customHeight="1">
      <c r="A13" s="488"/>
      <c r="B13" s="493"/>
      <c r="C13" s="481"/>
      <c r="D13" s="481"/>
      <c r="E13" s="481"/>
      <c r="F13" s="491"/>
      <c r="G13" s="491"/>
      <c r="H13" s="491"/>
      <c r="I13" s="491"/>
      <c r="J13" s="491"/>
      <c r="K13" s="491"/>
      <c r="L13" s="4" t="s">
        <v>161</v>
      </c>
      <c r="M13" s="16" t="s">
        <v>164</v>
      </c>
      <c r="N13" s="491"/>
      <c r="O13" s="38" t="s">
        <v>174</v>
      </c>
    </row>
    <row r="14" spans="1:15" s="7" customFormat="1" ht="18.75" customHeight="1">
      <c r="A14" s="5"/>
      <c r="B14" s="6"/>
      <c r="C14" s="6" t="s">
        <v>6</v>
      </c>
      <c r="D14" s="6" t="s">
        <v>6</v>
      </c>
      <c r="E14" s="6" t="s">
        <v>6</v>
      </c>
      <c r="F14" s="6" t="s">
        <v>6</v>
      </c>
      <c r="G14" s="6" t="s">
        <v>7</v>
      </c>
      <c r="H14" s="6" t="s">
        <v>6</v>
      </c>
      <c r="I14" s="6" t="s">
        <v>7</v>
      </c>
      <c r="J14" s="17" t="s">
        <v>6</v>
      </c>
      <c r="K14" s="6" t="s">
        <v>7</v>
      </c>
      <c r="L14" s="17" t="s">
        <v>6</v>
      </c>
      <c r="M14" s="17" t="s">
        <v>6</v>
      </c>
      <c r="N14" s="17" t="s">
        <v>6</v>
      </c>
      <c r="O14" s="27" t="s">
        <v>7</v>
      </c>
    </row>
    <row r="15" spans="1:15" s="8" customFormat="1" ht="11.25">
      <c r="A15" s="19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18">
        <v>12</v>
      </c>
      <c r="M15" s="18">
        <v>13</v>
      </c>
      <c r="N15" s="18">
        <v>14</v>
      </c>
      <c r="O15" s="39">
        <v>15</v>
      </c>
    </row>
    <row r="16" spans="1:16" s="26" customFormat="1" ht="21" customHeight="1">
      <c r="A16" s="28" t="s">
        <v>167</v>
      </c>
      <c r="B16" s="22" t="s">
        <v>166</v>
      </c>
      <c r="C16" s="23">
        <f>SUM(C18:C34)</f>
        <v>48279</v>
      </c>
      <c r="D16" s="24"/>
      <c r="E16" s="23">
        <f>SUM(E18:E34)</f>
        <v>48279</v>
      </c>
      <c r="F16" s="23">
        <f>SUM(F18:F34)</f>
        <v>48139</v>
      </c>
      <c r="G16" s="25">
        <f>F16/C16*100</f>
        <v>99.71001884877482</v>
      </c>
      <c r="H16" s="24"/>
      <c r="I16" s="24"/>
      <c r="J16" s="23">
        <f>SUM(J18:J34)</f>
        <v>48139</v>
      </c>
      <c r="K16" s="25">
        <f>J16/C16*100</f>
        <v>99.71001884877482</v>
      </c>
      <c r="L16" s="23">
        <f>SUM(L18:L34)</f>
        <v>48139</v>
      </c>
      <c r="M16" s="23">
        <f>SUM(M18:M34)</f>
        <v>48139</v>
      </c>
      <c r="N16" s="35">
        <f>SUM(N18:N34)</f>
        <v>0</v>
      </c>
      <c r="O16" s="43">
        <f>K16</f>
        <v>99.71001884877482</v>
      </c>
      <c r="P16" s="23">
        <f>SUM(P18:P34)</f>
        <v>95</v>
      </c>
    </row>
    <row r="17" spans="1:15" s="9" customFormat="1" ht="13.5" customHeight="1">
      <c r="A17" s="53">
        <v>1</v>
      </c>
      <c r="B17" s="54" t="s">
        <v>8</v>
      </c>
      <c r="C17" s="55"/>
      <c r="D17" s="55"/>
      <c r="E17" s="55"/>
      <c r="F17" s="55"/>
      <c r="G17" s="56"/>
      <c r="H17" s="57"/>
      <c r="I17" s="56"/>
      <c r="J17" s="57"/>
      <c r="K17" s="56"/>
      <c r="L17" s="58"/>
      <c r="M17" s="58"/>
      <c r="N17" s="59"/>
      <c r="O17" s="44"/>
    </row>
    <row r="18" spans="1:15" ht="13.5" customHeight="1">
      <c r="A18" s="60">
        <v>1</v>
      </c>
      <c r="B18" s="61" t="s">
        <v>9</v>
      </c>
      <c r="C18" s="62">
        <v>2496</v>
      </c>
      <c r="D18" s="62"/>
      <c r="E18" s="62">
        <f>C18</f>
        <v>2496</v>
      </c>
      <c r="F18" s="62">
        <v>2496</v>
      </c>
      <c r="G18" s="64">
        <f>F18/C18*100</f>
        <v>100</v>
      </c>
      <c r="H18" s="63"/>
      <c r="I18" s="64"/>
      <c r="J18" s="62">
        <f aca="true" t="shared" si="0" ref="J18:J24">F18</f>
        <v>2496</v>
      </c>
      <c r="K18" s="64">
        <f>J18/C18*100</f>
        <v>100</v>
      </c>
      <c r="L18" s="62">
        <f aca="true" t="shared" si="1" ref="L18:L24">J18</f>
        <v>2496</v>
      </c>
      <c r="M18" s="65">
        <f>L18</f>
        <v>2496</v>
      </c>
      <c r="N18" s="65"/>
      <c r="O18" s="45">
        <f>G18</f>
        <v>100</v>
      </c>
    </row>
    <row r="19" spans="1:15" ht="13.5" customHeight="1">
      <c r="A19" s="60">
        <v>2</v>
      </c>
      <c r="B19" s="61" t="s">
        <v>10</v>
      </c>
      <c r="C19" s="62">
        <v>3193</v>
      </c>
      <c r="D19" s="62"/>
      <c r="E19" s="62">
        <f aca="true" t="shared" si="2" ref="E19:E24">C19</f>
        <v>3193</v>
      </c>
      <c r="F19" s="62">
        <v>3193</v>
      </c>
      <c r="G19" s="64">
        <f aca="true" t="shared" si="3" ref="G19:G84">F19/C19*100</f>
        <v>100</v>
      </c>
      <c r="H19" s="63"/>
      <c r="I19" s="64"/>
      <c r="J19" s="62">
        <f t="shared" si="0"/>
        <v>3193</v>
      </c>
      <c r="K19" s="64">
        <f aca="true" t="shared" si="4" ref="K19:K24">J19/C19*100</f>
        <v>100</v>
      </c>
      <c r="L19" s="62">
        <f t="shared" si="1"/>
        <v>3193</v>
      </c>
      <c r="M19" s="65">
        <f aca="true" t="shared" si="5" ref="M19:M34">L19</f>
        <v>3193</v>
      </c>
      <c r="N19" s="65"/>
      <c r="O19" s="45">
        <f>G19</f>
        <v>100</v>
      </c>
    </row>
    <row r="20" spans="1:15" ht="13.5" customHeight="1">
      <c r="A20" s="60">
        <v>3</v>
      </c>
      <c r="B20" s="61" t="s">
        <v>11</v>
      </c>
      <c r="C20" s="62">
        <v>4841</v>
      </c>
      <c r="D20" s="62"/>
      <c r="E20" s="62">
        <f t="shared" si="2"/>
        <v>4841</v>
      </c>
      <c r="F20" s="62">
        <v>4841</v>
      </c>
      <c r="G20" s="64">
        <f t="shared" si="3"/>
        <v>100</v>
      </c>
      <c r="H20" s="63"/>
      <c r="I20" s="64"/>
      <c r="J20" s="62">
        <f t="shared" si="0"/>
        <v>4841</v>
      </c>
      <c r="K20" s="64">
        <f t="shared" si="4"/>
        <v>100</v>
      </c>
      <c r="L20" s="62">
        <f t="shared" si="1"/>
        <v>4841</v>
      </c>
      <c r="M20" s="65">
        <f t="shared" si="5"/>
        <v>4841</v>
      </c>
      <c r="N20" s="65"/>
      <c r="O20" s="45">
        <f aca="true" t="shared" si="6" ref="O20:O30">G20</f>
        <v>100</v>
      </c>
    </row>
    <row r="21" spans="1:16" ht="13.5" customHeight="1">
      <c r="A21" s="60">
        <v>4</v>
      </c>
      <c r="B21" s="61" t="s">
        <v>122</v>
      </c>
      <c r="C21" s="62">
        <v>5153</v>
      </c>
      <c r="D21" s="62"/>
      <c r="E21" s="62">
        <f t="shared" si="2"/>
        <v>5153</v>
      </c>
      <c r="F21" s="62">
        <v>5116</v>
      </c>
      <c r="G21" s="64">
        <f t="shared" si="3"/>
        <v>99.2819716669901</v>
      </c>
      <c r="H21" s="63"/>
      <c r="I21" s="64"/>
      <c r="J21" s="62">
        <f t="shared" si="0"/>
        <v>5116</v>
      </c>
      <c r="K21" s="56">
        <f t="shared" si="4"/>
        <v>99.2819716669901</v>
      </c>
      <c r="L21" s="62">
        <f t="shared" si="1"/>
        <v>5116</v>
      </c>
      <c r="M21" s="65">
        <f t="shared" si="5"/>
        <v>5116</v>
      </c>
      <c r="N21" s="65"/>
      <c r="O21" s="48">
        <f>((J21+P21)/C21)*100</f>
        <v>99.59247040558897</v>
      </c>
      <c r="P21" s="66">
        <v>16</v>
      </c>
    </row>
    <row r="22" spans="1:16" ht="13.5" customHeight="1">
      <c r="A22" s="60">
        <v>5</v>
      </c>
      <c r="B22" s="61" t="s">
        <v>123</v>
      </c>
      <c r="C22" s="62">
        <v>3603</v>
      </c>
      <c r="D22" s="62"/>
      <c r="E22" s="62">
        <f t="shared" si="2"/>
        <v>3603</v>
      </c>
      <c r="F22" s="62">
        <v>3603</v>
      </c>
      <c r="G22" s="64">
        <f t="shared" si="3"/>
        <v>100</v>
      </c>
      <c r="H22" s="63"/>
      <c r="I22" s="64"/>
      <c r="J22" s="62">
        <f t="shared" si="0"/>
        <v>3603</v>
      </c>
      <c r="K22" s="64">
        <f t="shared" si="4"/>
        <v>100</v>
      </c>
      <c r="L22" s="62">
        <f t="shared" si="1"/>
        <v>3603</v>
      </c>
      <c r="M22" s="65">
        <f t="shared" si="5"/>
        <v>3603</v>
      </c>
      <c r="N22" s="65"/>
      <c r="O22" s="45">
        <f t="shared" si="6"/>
        <v>100</v>
      </c>
      <c r="P22" s="66"/>
    </row>
    <row r="23" spans="1:16" ht="13.5" customHeight="1">
      <c r="A23" s="60">
        <v>6</v>
      </c>
      <c r="B23" s="61" t="s">
        <v>124</v>
      </c>
      <c r="C23" s="62">
        <v>8380</v>
      </c>
      <c r="D23" s="62"/>
      <c r="E23" s="62">
        <f t="shared" si="2"/>
        <v>8380</v>
      </c>
      <c r="F23" s="62">
        <v>8334</v>
      </c>
      <c r="G23" s="64">
        <f t="shared" si="3"/>
        <v>99.4510739856802</v>
      </c>
      <c r="H23" s="63"/>
      <c r="I23" s="64"/>
      <c r="J23" s="62">
        <f t="shared" si="0"/>
        <v>8334</v>
      </c>
      <c r="K23" s="56">
        <f t="shared" si="4"/>
        <v>99.4510739856802</v>
      </c>
      <c r="L23" s="62">
        <f t="shared" si="1"/>
        <v>8334</v>
      </c>
      <c r="M23" s="65">
        <f t="shared" si="5"/>
        <v>8334</v>
      </c>
      <c r="N23" s="65"/>
      <c r="O23" s="48">
        <f>((J23+P23)/C23)*100</f>
        <v>99.71360381861575</v>
      </c>
      <c r="P23" s="66">
        <v>22</v>
      </c>
    </row>
    <row r="24" spans="1:16" ht="13.5" customHeight="1">
      <c r="A24" s="60">
        <v>7</v>
      </c>
      <c r="B24" s="61" t="s">
        <v>125</v>
      </c>
      <c r="C24" s="62">
        <v>1592</v>
      </c>
      <c r="D24" s="62"/>
      <c r="E24" s="62">
        <f t="shared" si="2"/>
        <v>1592</v>
      </c>
      <c r="F24" s="62">
        <v>1559</v>
      </c>
      <c r="G24" s="64">
        <f t="shared" si="3"/>
        <v>97.92713567839196</v>
      </c>
      <c r="H24" s="63"/>
      <c r="I24" s="64"/>
      <c r="J24" s="62">
        <f t="shared" si="0"/>
        <v>1559</v>
      </c>
      <c r="K24" s="56">
        <f t="shared" si="4"/>
        <v>97.92713567839196</v>
      </c>
      <c r="L24" s="62">
        <f t="shared" si="1"/>
        <v>1559</v>
      </c>
      <c r="M24" s="65">
        <f t="shared" si="5"/>
        <v>1559</v>
      </c>
      <c r="N24" s="65"/>
      <c r="O24" s="48">
        <f>((J24+P24)/C24)*100</f>
        <v>100</v>
      </c>
      <c r="P24" s="66">
        <v>33</v>
      </c>
    </row>
    <row r="25" spans="1:16" ht="13.5" customHeight="1">
      <c r="A25" s="53">
        <v>2</v>
      </c>
      <c r="B25" s="54" t="s">
        <v>45</v>
      </c>
      <c r="C25" s="55"/>
      <c r="D25" s="55"/>
      <c r="E25" s="55"/>
      <c r="F25" s="55"/>
      <c r="G25" s="56"/>
      <c r="H25" s="57"/>
      <c r="I25" s="56"/>
      <c r="J25" s="57"/>
      <c r="K25" s="56"/>
      <c r="L25" s="58"/>
      <c r="M25" s="58"/>
      <c r="N25" s="59"/>
      <c r="O25" s="45"/>
      <c r="P25" s="49"/>
    </row>
    <row r="26" spans="1:15" ht="13.5" customHeight="1">
      <c r="A26" s="60">
        <v>1</v>
      </c>
      <c r="B26" s="61" t="s">
        <v>46</v>
      </c>
      <c r="C26" s="62">
        <v>1859</v>
      </c>
      <c r="D26" s="62"/>
      <c r="E26" s="62">
        <f aca="true" t="shared" si="7" ref="E26:E34">C26</f>
        <v>1859</v>
      </c>
      <c r="F26" s="62">
        <v>1859</v>
      </c>
      <c r="G26" s="64">
        <f aca="true" t="shared" si="8" ref="G26:G34">F26/C26*100</f>
        <v>100</v>
      </c>
      <c r="H26" s="63"/>
      <c r="I26" s="64"/>
      <c r="J26" s="62">
        <f aca="true" t="shared" si="9" ref="J26:J34">F26</f>
        <v>1859</v>
      </c>
      <c r="K26" s="64">
        <f aca="true" t="shared" si="10" ref="K26:K34">J26/C26*100</f>
        <v>100</v>
      </c>
      <c r="L26" s="62">
        <f aca="true" t="shared" si="11" ref="L26:L34">J26</f>
        <v>1859</v>
      </c>
      <c r="M26" s="65">
        <f t="shared" si="5"/>
        <v>1859</v>
      </c>
      <c r="N26" s="65"/>
      <c r="O26" s="45">
        <f t="shared" si="6"/>
        <v>100</v>
      </c>
    </row>
    <row r="27" spans="1:15" ht="13.5" customHeight="1">
      <c r="A27" s="60">
        <v>2</v>
      </c>
      <c r="B27" s="61" t="s">
        <v>47</v>
      </c>
      <c r="C27" s="62">
        <v>2232</v>
      </c>
      <c r="D27" s="62"/>
      <c r="E27" s="62">
        <f t="shared" si="7"/>
        <v>2232</v>
      </c>
      <c r="F27" s="62">
        <v>2232</v>
      </c>
      <c r="G27" s="64">
        <f t="shared" si="8"/>
        <v>100</v>
      </c>
      <c r="H27" s="63"/>
      <c r="I27" s="64"/>
      <c r="J27" s="62">
        <f t="shared" si="9"/>
        <v>2232</v>
      </c>
      <c r="K27" s="64">
        <f t="shared" si="10"/>
        <v>100</v>
      </c>
      <c r="L27" s="62">
        <f t="shared" si="11"/>
        <v>2232</v>
      </c>
      <c r="M27" s="65">
        <f t="shared" si="5"/>
        <v>2232</v>
      </c>
      <c r="N27" s="65"/>
      <c r="O27" s="45">
        <f t="shared" si="6"/>
        <v>100</v>
      </c>
    </row>
    <row r="28" spans="1:15" ht="13.5" customHeight="1">
      <c r="A28" s="60">
        <v>3</v>
      </c>
      <c r="B28" s="61" t="s">
        <v>48</v>
      </c>
      <c r="C28" s="62">
        <v>2584</v>
      </c>
      <c r="D28" s="62"/>
      <c r="E28" s="62">
        <f t="shared" si="7"/>
        <v>2584</v>
      </c>
      <c r="F28" s="62">
        <v>2584</v>
      </c>
      <c r="G28" s="64">
        <f t="shared" si="8"/>
        <v>100</v>
      </c>
      <c r="H28" s="63"/>
      <c r="I28" s="64"/>
      <c r="J28" s="62">
        <f t="shared" si="9"/>
        <v>2584</v>
      </c>
      <c r="K28" s="64">
        <f t="shared" si="10"/>
        <v>100</v>
      </c>
      <c r="L28" s="62">
        <f t="shared" si="11"/>
        <v>2584</v>
      </c>
      <c r="M28" s="65">
        <f t="shared" si="5"/>
        <v>2584</v>
      </c>
      <c r="N28" s="65"/>
      <c r="O28" s="45">
        <f t="shared" si="6"/>
        <v>100</v>
      </c>
    </row>
    <row r="29" spans="1:15" ht="13.5" customHeight="1">
      <c r="A29" s="60">
        <v>4</v>
      </c>
      <c r="B29" s="61" t="s">
        <v>49</v>
      </c>
      <c r="C29" s="62">
        <v>3402</v>
      </c>
      <c r="D29" s="62"/>
      <c r="E29" s="62">
        <f t="shared" si="7"/>
        <v>3402</v>
      </c>
      <c r="F29" s="62">
        <v>3402</v>
      </c>
      <c r="G29" s="64">
        <f t="shared" si="8"/>
        <v>100</v>
      </c>
      <c r="H29" s="63"/>
      <c r="I29" s="64"/>
      <c r="J29" s="62">
        <f t="shared" si="9"/>
        <v>3402</v>
      </c>
      <c r="K29" s="64">
        <f t="shared" si="10"/>
        <v>100</v>
      </c>
      <c r="L29" s="62">
        <f t="shared" si="11"/>
        <v>3402</v>
      </c>
      <c r="M29" s="65">
        <f t="shared" si="5"/>
        <v>3402</v>
      </c>
      <c r="N29" s="65"/>
      <c r="O29" s="45">
        <f t="shared" si="6"/>
        <v>100</v>
      </c>
    </row>
    <row r="30" spans="1:15" ht="13.5" customHeight="1">
      <c r="A30" s="60">
        <v>5</v>
      </c>
      <c r="B30" s="61" t="s">
        <v>50</v>
      </c>
      <c r="C30" s="62">
        <v>2215</v>
      </c>
      <c r="D30" s="62"/>
      <c r="E30" s="62">
        <f t="shared" si="7"/>
        <v>2215</v>
      </c>
      <c r="F30" s="62">
        <v>2215</v>
      </c>
      <c r="G30" s="64">
        <f t="shared" si="8"/>
        <v>100</v>
      </c>
      <c r="H30" s="63"/>
      <c r="I30" s="64"/>
      <c r="J30" s="62">
        <f t="shared" si="9"/>
        <v>2215</v>
      </c>
      <c r="K30" s="64">
        <f t="shared" si="10"/>
        <v>100</v>
      </c>
      <c r="L30" s="62">
        <f t="shared" si="11"/>
        <v>2215</v>
      </c>
      <c r="M30" s="65">
        <f t="shared" si="5"/>
        <v>2215</v>
      </c>
      <c r="N30" s="65"/>
      <c r="O30" s="45">
        <f t="shared" si="6"/>
        <v>100</v>
      </c>
    </row>
    <row r="31" spans="1:16" ht="13.5" customHeight="1">
      <c r="A31" s="60">
        <v>6</v>
      </c>
      <c r="B31" s="61" t="s">
        <v>51</v>
      </c>
      <c r="C31" s="62">
        <v>1321</v>
      </c>
      <c r="D31" s="62"/>
      <c r="E31" s="62">
        <f t="shared" si="7"/>
        <v>1321</v>
      </c>
      <c r="F31" s="62">
        <v>1312</v>
      </c>
      <c r="G31" s="64">
        <f t="shared" si="8"/>
        <v>99.31869795609387</v>
      </c>
      <c r="H31" s="63"/>
      <c r="I31" s="64"/>
      <c r="J31" s="62">
        <f t="shared" si="9"/>
        <v>1312</v>
      </c>
      <c r="K31" s="56">
        <f t="shared" si="10"/>
        <v>99.31869795609387</v>
      </c>
      <c r="L31" s="62">
        <f t="shared" si="11"/>
        <v>1312</v>
      </c>
      <c r="M31" s="65">
        <f t="shared" si="5"/>
        <v>1312</v>
      </c>
      <c r="N31" s="65"/>
      <c r="O31" s="48">
        <f>((J31+P31)/C31)*100</f>
        <v>100</v>
      </c>
      <c r="P31" s="1">
        <v>9</v>
      </c>
    </row>
    <row r="32" spans="1:16" ht="13.5" customHeight="1">
      <c r="A32" s="60">
        <v>7</v>
      </c>
      <c r="B32" s="61" t="s">
        <v>52</v>
      </c>
      <c r="C32" s="62">
        <v>1437</v>
      </c>
      <c r="D32" s="62"/>
      <c r="E32" s="62">
        <f t="shared" si="7"/>
        <v>1437</v>
      </c>
      <c r="F32" s="62">
        <v>1434</v>
      </c>
      <c r="G32" s="64">
        <f t="shared" si="8"/>
        <v>99.79123173277662</v>
      </c>
      <c r="H32" s="63"/>
      <c r="I32" s="64"/>
      <c r="J32" s="62">
        <f t="shared" si="9"/>
        <v>1434</v>
      </c>
      <c r="K32" s="56">
        <f t="shared" si="10"/>
        <v>99.79123173277662</v>
      </c>
      <c r="L32" s="62">
        <f t="shared" si="11"/>
        <v>1434</v>
      </c>
      <c r="M32" s="65">
        <f t="shared" si="5"/>
        <v>1434</v>
      </c>
      <c r="N32" s="65"/>
      <c r="O32" s="48">
        <f>((J32+P32)/C32)*100</f>
        <v>100</v>
      </c>
      <c r="P32" s="1">
        <v>3</v>
      </c>
    </row>
    <row r="33" spans="1:15" ht="13.5" customHeight="1">
      <c r="A33" s="60">
        <v>8</v>
      </c>
      <c r="B33" s="61" t="s">
        <v>53</v>
      </c>
      <c r="C33" s="62">
        <v>1720</v>
      </c>
      <c r="D33" s="62"/>
      <c r="E33" s="62">
        <f t="shared" si="7"/>
        <v>1720</v>
      </c>
      <c r="F33" s="62">
        <v>1720</v>
      </c>
      <c r="G33" s="64">
        <f t="shared" si="8"/>
        <v>100</v>
      </c>
      <c r="H33" s="63"/>
      <c r="I33" s="64"/>
      <c r="J33" s="62">
        <f t="shared" si="9"/>
        <v>1720</v>
      </c>
      <c r="K33" s="64">
        <f t="shared" si="10"/>
        <v>100</v>
      </c>
      <c r="L33" s="62">
        <f t="shared" si="11"/>
        <v>1720</v>
      </c>
      <c r="M33" s="65">
        <f t="shared" si="5"/>
        <v>1720</v>
      </c>
      <c r="N33" s="65"/>
      <c r="O33" s="45">
        <f>((J33+P33)/C33)*100</f>
        <v>100</v>
      </c>
    </row>
    <row r="34" spans="1:16" ht="13.5" customHeight="1">
      <c r="A34" s="60">
        <v>9</v>
      </c>
      <c r="B34" s="61" t="s">
        <v>54</v>
      </c>
      <c r="C34" s="62">
        <v>2251</v>
      </c>
      <c r="D34" s="62"/>
      <c r="E34" s="62">
        <f t="shared" si="7"/>
        <v>2251</v>
      </c>
      <c r="F34" s="62">
        <v>2239</v>
      </c>
      <c r="G34" s="64">
        <f t="shared" si="8"/>
        <v>99.46690359840072</v>
      </c>
      <c r="H34" s="63"/>
      <c r="I34" s="64"/>
      <c r="J34" s="62">
        <f t="shared" si="9"/>
        <v>2239</v>
      </c>
      <c r="K34" s="56">
        <f t="shared" si="10"/>
        <v>99.46690359840072</v>
      </c>
      <c r="L34" s="62">
        <f t="shared" si="11"/>
        <v>2239</v>
      </c>
      <c r="M34" s="65">
        <f t="shared" si="5"/>
        <v>2239</v>
      </c>
      <c r="N34" s="65"/>
      <c r="O34" s="48">
        <f>((J34+P34)/C34)*100</f>
        <v>100</v>
      </c>
      <c r="P34" s="1">
        <v>12</v>
      </c>
    </row>
    <row r="35" spans="1:16" ht="20.25" customHeight="1">
      <c r="A35" s="21" t="s">
        <v>168</v>
      </c>
      <c r="B35" s="42" t="s">
        <v>169</v>
      </c>
      <c r="C35" s="13">
        <f>SUM(C37:C164)</f>
        <v>344102</v>
      </c>
      <c r="D35" s="10"/>
      <c r="E35" s="13">
        <f>SUM(E37:E164)</f>
        <v>344102</v>
      </c>
      <c r="F35" s="13">
        <f>SUM(F37:F164)</f>
        <v>335590</v>
      </c>
      <c r="G35" s="14">
        <f>F35/C35*100</f>
        <v>97.52631487175314</v>
      </c>
      <c r="H35" s="12"/>
      <c r="I35" s="11"/>
      <c r="J35" s="13">
        <f>SUM(J37:J164)</f>
        <v>335590</v>
      </c>
      <c r="K35" s="14">
        <f>J35/C35*100</f>
        <v>97.52631487175314</v>
      </c>
      <c r="L35" s="13">
        <f>SUM(L37:L164)</f>
        <v>335590</v>
      </c>
      <c r="M35" s="13">
        <f>SUM(M37:M164)</f>
        <v>335237</v>
      </c>
      <c r="N35" s="36">
        <f>SUM(N37:N164)</f>
        <v>353</v>
      </c>
      <c r="O35" s="48">
        <f>((J35+P35)/C35)*100</f>
        <v>98.92299376347711</v>
      </c>
      <c r="P35" s="13">
        <f>SUM(P37:P164)</f>
        <v>4806</v>
      </c>
    </row>
    <row r="36" spans="1:15" ht="13.5" customHeight="1">
      <c r="A36" s="53">
        <v>3</v>
      </c>
      <c r="B36" s="54" t="s">
        <v>12</v>
      </c>
      <c r="C36" s="55"/>
      <c r="D36" s="55"/>
      <c r="E36" s="55"/>
      <c r="F36" s="55"/>
      <c r="G36" s="56"/>
      <c r="H36" s="57"/>
      <c r="I36" s="56"/>
      <c r="J36" s="57"/>
      <c r="K36" s="56"/>
      <c r="L36" s="58"/>
      <c r="M36" s="58"/>
      <c r="N36" s="59"/>
      <c r="O36" s="46"/>
    </row>
    <row r="37" spans="1:15" s="15" customFormat="1" ht="13.5" customHeight="1">
      <c r="A37" s="60">
        <v>1</v>
      </c>
      <c r="B37" s="61" t="s">
        <v>13</v>
      </c>
      <c r="C37" s="62">
        <v>1978</v>
      </c>
      <c r="D37" s="62"/>
      <c r="E37" s="62">
        <f aca="true" t="shared" si="12" ref="E37:E54">C37</f>
        <v>1978</v>
      </c>
      <c r="F37" s="62">
        <v>1978</v>
      </c>
      <c r="G37" s="64">
        <f t="shared" si="3"/>
        <v>100</v>
      </c>
      <c r="H37" s="63"/>
      <c r="I37" s="64"/>
      <c r="J37" s="62">
        <f aca="true" t="shared" si="13" ref="J37:J52">F37</f>
        <v>1978</v>
      </c>
      <c r="K37" s="64">
        <f aca="true" t="shared" si="14" ref="K37:K52">J37/C37*100</f>
        <v>100</v>
      </c>
      <c r="L37" s="62">
        <f>J37</f>
        <v>1978</v>
      </c>
      <c r="M37" s="65">
        <f>L37</f>
        <v>1978</v>
      </c>
      <c r="N37" s="65"/>
      <c r="O37" s="47">
        <f>K37</f>
        <v>100</v>
      </c>
    </row>
    <row r="38" spans="1:15" s="15" customFormat="1" ht="13.5" customHeight="1">
      <c r="A38" s="60">
        <v>2</v>
      </c>
      <c r="B38" s="61" t="s">
        <v>14</v>
      </c>
      <c r="C38" s="62">
        <v>2377</v>
      </c>
      <c r="D38" s="62"/>
      <c r="E38" s="62">
        <f t="shared" si="12"/>
        <v>2377</v>
      </c>
      <c r="F38" s="62">
        <v>2370</v>
      </c>
      <c r="G38" s="64">
        <f t="shared" si="3"/>
        <v>99.70551114850652</v>
      </c>
      <c r="H38" s="63"/>
      <c r="I38" s="64"/>
      <c r="J38" s="62">
        <f t="shared" si="13"/>
        <v>2370</v>
      </c>
      <c r="K38" s="64">
        <f t="shared" si="14"/>
        <v>99.70551114850652</v>
      </c>
      <c r="L38" s="62">
        <f>J38</f>
        <v>2370</v>
      </c>
      <c r="M38" s="65">
        <f>L38</f>
        <v>2370</v>
      </c>
      <c r="N38" s="65"/>
      <c r="O38" s="47">
        <f aca="true" t="shared" si="15" ref="O38:O58">K38</f>
        <v>99.70551114850652</v>
      </c>
    </row>
    <row r="39" spans="1:15" s="15" customFormat="1" ht="13.5" customHeight="1">
      <c r="A39" s="60">
        <v>3</v>
      </c>
      <c r="B39" s="61" t="s">
        <v>15</v>
      </c>
      <c r="C39" s="62">
        <v>6442</v>
      </c>
      <c r="D39" s="62"/>
      <c r="E39" s="62">
        <f t="shared" si="12"/>
        <v>6442</v>
      </c>
      <c r="F39" s="62">
        <v>6433</v>
      </c>
      <c r="G39" s="64">
        <f t="shared" si="3"/>
        <v>99.8602918348339</v>
      </c>
      <c r="H39" s="63"/>
      <c r="I39" s="64"/>
      <c r="J39" s="62">
        <f t="shared" si="13"/>
        <v>6433</v>
      </c>
      <c r="K39" s="64">
        <f t="shared" si="14"/>
        <v>99.8602918348339</v>
      </c>
      <c r="L39" s="62">
        <f>J39</f>
        <v>6433</v>
      </c>
      <c r="M39" s="65">
        <f>L39</f>
        <v>6433</v>
      </c>
      <c r="N39" s="65"/>
      <c r="O39" s="47">
        <f t="shared" si="15"/>
        <v>99.8602918348339</v>
      </c>
    </row>
    <row r="40" spans="1:15" s="15" customFormat="1" ht="13.5" customHeight="1">
      <c r="A40" s="60">
        <v>4</v>
      </c>
      <c r="B40" s="61" t="s">
        <v>16</v>
      </c>
      <c r="C40" s="62">
        <v>2646</v>
      </c>
      <c r="D40" s="62"/>
      <c r="E40" s="62">
        <f t="shared" si="12"/>
        <v>2646</v>
      </c>
      <c r="F40" s="62">
        <v>2646</v>
      </c>
      <c r="G40" s="64">
        <f t="shared" si="3"/>
        <v>100</v>
      </c>
      <c r="H40" s="63"/>
      <c r="I40" s="64"/>
      <c r="J40" s="62">
        <f t="shared" si="13"/>
        <v>2646</v>
      </c>
      <c r="K40" s="64">
        <f t="shared" si="14"/>
        <v>100</v>
      </c>
      <c r="L40" s="62">
        <f>J40</f>
        <v>2646</v>
      </c>
      <c r="M40" s="65">
        <f>L40</f>
        <v>2646</v>
      </c>
      <c r="N40" s="65"/>
      <c r="O40" s="47">
        <f t="shared" si="15"/>
        <v>100</v>
      </c>
    </row>
    <row r="41" spans="1:15" s="15" customFormat="1" ht="13.5" customHeight="1">
      <c r="A41" s="60">
        <v>5</v>
      </c>
      <c r="B41" s="61" t="s">
        <v>17</v>
      </c>
      <c r="C41" s="62">
        <v>12575</v>
      </c>
      <c r="D41" s="62"/>
      <c r="E41" s="62">
        <f t="shared" si="12"/>
        <v>12575</v>
      </c>
      <c r="F41" s="62">
        <v>12575</v>
      </c>
      <c r="G41" s="64">
        <f t="shared" si="3"/>
        <v>100</v>
      </c>
      <c r="H41" s="63"/>
      <c r="I41" s="64"/>
      <c r="J41" s="62">
        <f t="shared" si="13"/>
        <v>12575</v>
      </c>
      <c r="K41" s="64">
        <f t="shared" si="14"/>
        <v>100</v>
      </c>
      <c r="L41" s="65">
        <f>J41</f>
        <v>12575</v>
      </c>
      <c r="M41" s="65">
        <f>L41-N41</f>
        <v>12554</v>
      </c>
      <c r="N41" s="65">
        <v>21</v>
      </c>
      <c r="O41" s="47">
        <f t="shared" si="15"/>
        <v>100</v>
      </c>
    </row>
    <row r="42" spans="1:15" s="15" customFormat="1" ht="13.5" customHeight="1">
      <c r="A42" s="60">
        <v>6</v>
      </c>
      <c r="B42" s="61" t="s">
        <v>18</v>
      </c>
      <c r="C42" s="62">
        <v>10035</v>
      </c>
      <c r="D42" s="62"/>
      <c r="E42" s="62">
        <f t="shared" si="12"/>
        <v>10035</v>
      </c>
      <c r="F42" s="62">
        <v>10035</v>
      </c>
      <c r="G42" s="64">
        <f t="shared" si="3"/>
        <v>100</v>
      </c>
      <c r="H42" s="63"/>
      <c r="I42" s="64"/>
      <c r="J42" s="62">
        <f t="shared" si="13"/>
        <v>10035</v>
      </c>
      <c r="K42" s="64">
        <f t="shared" si="14"/>
        <v>100</v>
      </c>
      <c r="L42" s="62">
        <f aca="true" t="shared" si="16" ref="L42:L52">J42</f>
        <v>10035</v>
      </c>
      <c r="M42" s="65">
        <f aca="true" t="shared" si="17" ref="M42:M52">L42</f>
        <v>10035</v>
      </c>
      <c r="N42" s="65"/>
      <c r="O42" s="47">
        <f t="shared" si="15"/>
        <v>100</v>
      </c>
    </row>
    <row r="43" spans="1:15" s="15" customFormat="1" ht="13.5" customHeight="1">
      <c r="A43" s="60">
        <v>7</v>
      </c>
      <c r="B43" s="61" t="s">
        <v>19</v>
      </c>
      <c r="C43" s="62">
        <v>3213</v>
      </c>
      <c r="D43" s="62"/>
      <c r="E43" s="62">
        <f t="shared" si="12"/>
        <v>3213</v>
      </c>
      <c r="F43" s="62">
        <v>3213</v>
      </c>
      <c r="G43" s="64">
        <f t="shared" si="3"/>
        <v>100</v>
      </c>
      <c r="H43" s="63"/>
      <c r="I43" s="64"/>
      <c r="J43" s="62">
        <f t="shared" si="13"/>
        <v>3213</v>
      </c>
      <c r="K43" s="64">
        <f t="shared" si="14"/>
        <v>100</v>
      </c>
      <c r="L43" s="62">
        <f t="shared" si="16"/>
        <v>3213</v>
      </c>
      <c r="M43" s="65">
        <f t="shared" si="17"/>
        <v>3213</v>
      </c>
      <c r="N43" s="65"/>
      <c r="O43" s="47">
        <f t="shared" si="15"/>
        <v>100</v>
      </c>
    </row>
    <row r="44" spans="1:15" s="15" customFormat="1" ht="13.5" customHeight="1">
      <c r="A44" s="60">
        <v>8</v>
      </c>
      <c r="B44" s="61" t="s">
        <v>20</v>
      </c>
      <c r="C44" s="62">
        <v>4508</v>
      </c>
      <c r="D44" s="62"/>
      <c r="E44" s="62">
        <f t="shared" si="12"/>
        <v>4508</v>
      </c>
      <c r="F44" s="62">
        <v>4508</v>
      </c>
      <c r="G44" s="64">
        <f t="shared" si="3"/>
        <v>100</v>
      </c>
      <c r="H44" s="63"/>
      <c r="I44" s="64"/>
      <c r="J44" s="62">
        <f t="shared" si="13"/>
        <v>4508</v>
      </c>
      <c r="K44" s="64">
        <f t="shared" si="14"/>
        <v>100</v>
      </c>
      <c r="L44" s="62">
        <f t="shared" si="16"/>
        <v>4508</v>
      </c>
      <c r="M44" s="65">
        <f t="shared" si="17"/>
        <v>4508</v>
      </c>
      <c r="N44" s="65"/>
      <c r="O44" s="47">
        <f t="shared" si="15"/>
        <v>100</v>
      </c>
    </row>
    <row r="45" spans="1:15" ht="13.5" customHeight="1">
      <c r="A45" s="60">
        <v>9</v>
      </c>
      <c r="B45" s="61" t="s">
        <v>21</v>
      </c>
      <c r="C45" s="62">
        <v>2787</v>
      </c>
      <c r="D45" s="62"/>
      <c r="E45" s="62">
        <f t="shared" si="12"/>
        <v>2787</v>
      </c>
      <c r="F45" s="62">
        <v>2787</v>
      </c>
      <c r="G45" s="64">
        <f t="shared" si="3"/>
        <v>100</v>
      </c>
      <c r="H45" s="63"/>
      <c r="I45" s="64"/>
      <c r="J45" s="62">
        <f t="shared" si="13"/>
        <v>2787</v>
      </c>
      <c r="K45" s="64">
        <f t="shared" si="14"/>
        <v>100</v>
      </c>
      <c r="L45" s="62">
        <f t="shared" si="16"/>
        <v>2787</v>
      </c>
      <c r="M45" s="65">
        <f t="shared" si="17"/>
        <v>2787</v>
      </c>
      <c r="N45" s="65"/>
      <c r="O45" s="47">
        <f t="shared" si="15"/>
        <v>100</v>
      </c>
    </row>
    <row r="46" spans="1:15" ht="13.5" customHeight="1">
      <c r="A46" s="60">
        <v>10</v>
      </c>
      <c r="B46" s="61" t="s">
        <v>22</v>
      </c>
      <c r="C46" s="62">
        <v>2660</v>
      </c>
      <c r="D46" s="62"/>
      <c r="E46" s="62">
        <f t="shared" si="12"/>
        <v>2660</v>
      </c>
      <c r="F46" s="62">
        <v>2660</v>
      </c>
      <c r="G46" s="64">
        <f t="shared" si="3"/>
        <v>100</v>
      </c>
      <c r="H46" s="63"/>
      <c r="I46" s="64"/>
      <c r="J46" s="62">
        <f t="shared" si="13"/>
        <v>2660</v>
      </c>
      <c r="K46" s="64">
        <f t="shared" si="14"/>
        <v>100</v>
      </c>
      <c r="L46" s="62">
        <f t="shared" si="16"/>
        <v>2660</v>
      </c>
      <c r="M46" s="65">
        <f t="shared" si="17"/>
        <v>2660</v>
      </c>
      <c r="N46" s="65"/>
      <c r="O46" s="47">
        <f t="shared" si="15"/>
        <v>100</v>
      </c>
    </row>
    <row r="47" spans="1:15" ht="13.5" customHeight="1">
      <c r="A47" s="60">
        <v>11</v>
      </c>
      <c r="B47" s="61" t="s">
        <v>23</v>
      </c>
      <c r="C47" s="62">
        <v>2552</v>
      </c>
      <c r="D47" s="62"/>
      <c r="E47" s="62">
        <f t="shared" si="12"/>
        <v>2552</v>
      </c>
      <c r="F47" s="62">
        <v>2552</v>
      </c>
      <c r="G47" s="64">
        <f t="shared" si="3"/>
        <v>100</v>
      </c>
      <c r="H47" s="63"/>
      <c r="I47" s="64"/>
      <c r="J47" s="62">
        <f t="shared" si="13"/>
        <v>2552</v>
      </c>
      <c r="K47" s="64">
        <f t="shared" si="14"/>
        <v>100</v>
      </c>
      <c r="L47" s="62">
        <f t="shared" si="16"/>
        <v>2552</v>
      </c>
      <c r="M47" s="65">
        <f t="shared" si="17"/>
        <v>2552</v>
      </c>
      <c r="N47" s="65"/>
      <c r="O47" s="47">
        <f t="shared" si="15"/>
        <v>100</v>
      </c>
    </row>
    <row r="48" spans="1:15" ht="13.5" customHeight="1">
      <c r="A48" s="60">
        <v>12</v>
      </c>
      <c r="B48" s="61" t="s">
        <v>24</v>
      </c>
      <c r="C48" s="62">
        <v>3465</v>
      </c>
      <c r="D48" s="62"/>
      <c r="E48" s="62">
        <f t="shared" si="12"/>
        <v>3465</v>
      </c>
      <c r="F48" s="62">
        <v>3465</v>
      </c>
      <c r="G48" s="64">
        <f t="shared" si="3"/>
        <v>100</v>
      </c>
      <c r="H48" s="63"/>
      <c r="I48" s="64"/>
      <c r="J48" s="62">
        <f t="shared" si="13"/>
        <v>3465</v>
      </c>
      <c r="K48" s="64">
        <f t="shared" si="14"/>
        <v>100</v>
      </c>
      <c r="L48" s="62">
        <f t="shared" si="16"/>
        <v>3465</v>
      </c>
      <c r="M48" s="65">
        <f t="shared" si="17"/>
        <v>3465</v>
      </c>
      <c r="N48" s="65"/>
      <c r="O48" s="47">
        <f t="shared" si="15"/>
        <v>100</v>
      </c>
    </row>
    <row r="49" spans="1:15" ht="13.5" customHeight="1">
      <c r="A49" s="60">
        <v>13</v>
      </c>
      <c r="B49" s="61" t="s">
        <v>25</v>
      </c>
      <c r="C49" s="62">
        <v>1404</v>
      </c>
      <c r="D49" s="62"/>
      <c r="E49" s="62">
        <f t="shared" si="12"/>
        <v>1404</v>
      </c>
      <c r="F49" s="62">
        <v>1404</v>
      </c>
      <c r="G49" s="64">
        <f t="shared" si="3"/>
        <v>100</v>
      </c>
      <c r="H49" s="63"/>
      <c r="I49" s="64"/>
      <c r="J49" s="62">
        <f t="shared" si="13"/>
        <v>1404</v>
      </c>
      <c r="K49" s="64">
        <f t="shared" si="14"/>
        <v>100</v>
      </c>
      <c r="L49" s="62">
        <f t="shared" si="16"/>
        <v>1404</v>
      </c>
      <c r="M49" s="65">
        <f t="shared" si="17"/>
        <v>1404</v>
      </c>
      <c r="N49" s="65"/>
      <c r="O49" s="47">
        <f t="shared" si="15"/>
        <v>100</v>
      </c>
    </row>
    <row r="50" spans="1:15" ht="13.5" customHeight="1">
      <c r="A50" s="60">
        <v>14</v>
      </c>
      <c r="B50" s="61" t="s">
        <v>26</v>
      </c>
      <c r="C50" s="62">
        <v>1547</v>
      </c>
      <c r="D50" s="62"/>
      <c r="E50" s="62">
        <f t="shared" si="12"/>
        <v>1547</v>
      </c>
      <c r="F50" s="62">
        <v>1547</v>
      </c>
      <c r="G50" s="64">
        <f t="shared" si="3"/>
        <v>100</v>
      </c>
      <c r="H50" s="63"/>
      <c r="I50" s="64"/>
      <c r="J50" s="62">
        <f t="shared" si="13"/>
        <v>1547</v>
      </c>
      <c r="K50" s="64">
        <f t="shared" si="14"/>
        <v>100</v>
      </c>
      <c r="L50" s="62">
        <f t="shared" si="16"/>
        <v>1547</v>
      </c>
      <c r="M50" s="65">
        <f t="shared" si="17"/>
        <v>1547</v>
      </c>
      <c r="N50" s="65"/>
      <c r="O50" s="47">
        <f t="shared" si="15"/>
        <v>100</v>
      </c>
    </row>
    <row r="51" spans="1:15" ht="13.5" customHeight="1">
      <c r="A51" s="60">
        <v>15</v>
      </c>
      <c r="B51" s="61" t="s">
        <v>43</v>
      </c>
      <c r="C51" s="62">
        <v>2700</v>
      </c>
      <c r="D51" s="62"/>
      <c r="E51" s="62">
        <f t="shared" si="12"/>
        <v>2700</v>
      </c>
      <c r="F51" s="62">
        <v>2700</v>
      </c>
      <c r="G51" s="64">
        <f t="shared" si="3"/>
        <v>100</v>
      </c>
      <c r="H51" s="63"/>
      <c r="I51" s="64"/>
      <c r="J51" s="62">
        <f t="shared" si="13"/>
        <v>2700</v>
      </c>
      <c r="K51" s="64">
        <f t="shared" si="14"/>
        <v>100</v>
      </c>
      <c r="L51" s="62">
        <f t="shared" si="16"/>
        <v>2700</v>
      </c>
      <c r="M51" s="65">
        <f t="shared" si="17"/>
        <v>2700</v>
      </c>
      <c r="N51" s="65"/>
      <c r="O51" s="47">
        <f t="shared" si="15"/>
        <v>100</v>
      </c>
    </row>
    <row r="52" spans="1:16" ht="13.5" customHeight="1">
      <c r="A52" s="60">
        <v>16</v>
      </c>
      <c r="B52" s="61" t="s">
        <v>44</v>
      </c>
      <c r="C52" s="62">
        <v>2112</v>
      </c>
      <c r="D52" s="62"/>
      <c r="E52" s="62">
        <f t="shared" si="12"/>
        <v>2112</v>
      </c>
      <c r="F52" s="62">
        <v>2076</v>
      </c>
      <c r="G52" s="64">
        <f t="shared" si="3"/>
        <v>98.29545454545455</v>
      </c>
      <c r="H52" s="63"/>
      <c r="I52" s="64"/>
      <c r="J52" s="62">
        <f t="shared" si="13"/>
        <v>2076</v>
      </c>
      <c r="K52" s="56">
        <f t="shared" si="14"/>
        <v>98.29545454545455</v>
      </c>
      <c r="L52" s="62">
        <f t="shared" si="16"/>
        <v>2076</v>
      </c>
      <c r="M52" s="65">
        <f t="shared" si="17"/>
        <v>2076</v>
      </c>
      <c r="N52" s="65"/>
      <c r="O52" s="48">
        <f>((J52+P52)/C52)*100</f>
        <v>100</v>
      </c>
      <c r="P52" s="1">
        <v>36</v>
      </c>
    </row>
    <row r="53" spans="1:15" ht="13.5" customHeight="1">
      <c r="A53" s="53">
        <v>4</v>
      </c>
      <c r="B53" s="54" t="s">
        <v>27</v>
      </c>
      <c r="C53" s="55"/>
      <c r="D53" s="55"/>
      <c r="E53" s="55"/>
      <c r="F53" s="55"/>
      <c r="G53" s="56"/>
      <c r="H53" s="57"/>
      <c r="I53" s="56"/>
      <c r="J53" s="57"/>
      <c r="K53" s="56"/>
      <c r="L53" s="58"/>
      <c r="M53" s="58"/>
      <c r="N53" s="59"/>
      <c r="O53" s="46"/>
    </row>
    <row r="54" spans="1:15" ht="13.5" customHeight="1">
      <c r="A54" s="60">
        <v>1</v>
      </c>
      <c r="B54" s="61" t="s">
        <v>28</v>
      </c>
      <c r="C54" s="62">
        <v>5509</v>
      </c>
      <c r="D54" s="62"/>
      <c r="E54" s="62">
        <f t="shared" si="12"/>
        <v>5509</v>
      </c>
      <c r="F54" s="62">
        <v>5507</v>
      </c>
      <c r="G54" s="64">
        <f t="shared" si="3"/>
        <v>99.96369577055727</v>
      </c>
      <c r="H54" s="63"/>
      <c r="I54" s="64"/>
      <c r="J54" s="62">
        <f aca="true" t="shared" si="18" ref="J54:J63">F54</f>
        <v>5507</v>
      </c>
      <c r="K54" s="64">
        <f aca="true" t="shared" si="19" ref="K54:K63">J54/C54*100</f>
        <v>99.96369577055727</v>
      </c>
      <c r="L54" s="62">
        <f aca="true" t="shared" si="20" ref="L54:L63">J54</f>
        <v>5507</v>
      </c>
      <c r="M54" s="65">
        <f aca="true" t="shared" si="21" ref="M54:M63">L54</f>
        <v>5507</v>
      </c>
      <c r="N54" s="65"/>
      <c r="O54" s="47">
        <f t="shared" si="15"/>
        <v>99.96369577055727</v>
      </c>
    </row>
    <row r="55" spans="1:15" ht="13.5" customHeight="1">
      <c r="A55" s="60">
        <v>2</v>
      </c>
      <c r="B55" s="61" t="s">
        <v>29</v>
      </c>
      <c r="C55" s="62">
        <v>2300</v>
      </c>
      <c r="D55" s="62"/>
      <c r="E55" s="62">
        <f aca="true" t="shared" si="22" ref="E55:E63">C55</f>
        <v>2300</v>
      </c>
      <c r="F55" s="62">
        <v>2277</v>
      </c>
      <c r="G55" s="64">
        <f t="shared" si="3"/>
        <v>99</v>
      </c>
      <c r="H55" s="63"/>
      <c r="I55" s="64"/>
      <c r="J55" s="62">
        <f t="shared" si="18"/>
        <v>2277</v>
      </c>
      <c r="K55" s="64">
        <f t="shared" si="19"/>
        <v>99</v>
      </c>
      <c r="L55" s="62">
        <f t="shared" si="20"/>
        <v>2277</v>
      </c>
      <c r="M55" s="65">
        <f t="shared" si="21"/>
        <v>2277</v>
      </c>
      <c r="N55" s="65"/>
      <c r="O55" s="47">
        <f t="shared" si="15"/>
        <v>99</v>
      </c>
    </row>
    <row r="56" spans="1:15" ht="13.5" customHeight="1">
      <c r="A56" s="60">
        <v>3</v>
      </c>
      <c r="B56" s="61" t="s">
        <v>30</v>
      </c>
      <c r="C56" s="62">
        <v>2501</v>
      </c>
      <c r="D56" s="62"/>
      <c r="E56" s="62">
        <f t="shared" si="22"/>
        <v>2501</v>
      </c>
      <c r="F56" s="62">
        <v>2476</v>
      </c>
      <c r="G56" s="64">
        <f t="shared" si="3"/>
        <v>99.00039984006398</v>
      </c>
      <c r="H56" s="63"/>
      <c r="I56" s="64"/>
      <c r="J56" s="62">
        <f t="shared" si="18"/>
        <v>2476</v>
      </c>
      <c r="K56" s="64">
        <f t="shared" si="19"/>
        <v>99.00039984006398</v>
      </c>
      <c r="L56" s="62">
        <f t="shared" si="20"/>
        <v>2476</v>
      </c>
      <c r="M56" s="65">
        <f t="shared" si="21"/>
        <v>2476</v>
      </c>
      <c r="N56" s="65"/>
      <c r="O56" s="47">
        <f t="shared" si="15"/>
        <v>99.00039984006398</v>
      </c>
    </row>
    <row r="57" spans="1:15" ht="13.5" customHeight="1">
      <c r="A57" s="60">
        <v>4</v>
      </c>
      <c r="B57" s="61" t="s">
        <v>55</v>
      </c>
      <c r="C57" s="62">
        <v>2295</v>
      </c>
      <c r="D57" s="62"/>
      <c r="E57" s="62">
        <f t="shared" si="22"/>
        <v>2295</v>
      </c>
      <c r="F57" s="62">
        <v>2295</v>
      </c>
      <c r="G57" s="64">
        <f t="shared" si="3"/>
        <v>100</v>
      </c>
      <c r="H57" s="63"/>
      <c r="I57" s="64"/>
      <c r="J57" s="62">
        <f t="shared" si="18"/>
        <v>2295</v>
      </c>
      <c r="K57" s="64">
        <f t="shared" si="19"/>
        <v>100</v>
      </c>
      <c r="L57" s="62">
        <f t="shared" si="20"/>
        <v>2295</v>
      </c>
      <c r="M57" s="65">
        <f t="shared" si="21"/>
        <v>2295</v>
      </c>
      <c r="N57" s="65"/>
      <c r="O57" s="47">
        <f t="shared" si="15"/>
        <v>100</v>
      </c>
    </row>
    <row r="58" spans="1:16" ht="13.5" customHeight="1">
      <c r="A58" s="60">
        <v>5</v>
      </c>
      <c r="B58" s="61" t="s">
        <v>56</v>
      </c>
      <c r="C58" s="62">
        <v>1979</v>
      </c>
      <c r="D58" s="62"/>
      <c r="E58" s="62">
        <f t="shared" si="22"/>
        <v>1979</v>
      </c>
      <c r="F58" s="62">
        <v>1979</v>
      </c>
      <c r="G58" s="64">
        <f t="shared" si="3"/>
        <v>100</v>
      </c>
      <c r="H58" s="63"/>
      <c r="I58" s="64"/>
      <c r="J58" s="62">
        <f t="shared" si="18"/>
        <v>1979</v>
      </c>
      <c r="K58" s="64">
        <f t="shared" si="19"/>
        <v>100</v>
      </c>
      <c r="L58" s="62">
        <f t="shared" si="20"/>
        <v>1979</v>
      </c>
      <c r="M58" s="65">
        <f t="shared" si="21"/>
        <v>1979</v>
      </c>
      <c r="N58" s="65"/>
      <c r="O58" s="47">
        <f t="shared" si="15"/>
        <v>100</v>
      </c>
      <c r="P58" s="49"/>
    </row>
    <row r="59" spans="1:16" ht="13.5" customHeight="1">
      <c r="A59" s="60">
        <v>6</v>
      </c>
      <c r="B59" s="61" t="s">
        <v>117</v>
      </c>
      <c r="C59" s="62">
        <v>3255</v>
      </c>
      <c r="D59" s="62"/>
      <c r="E59" s="62">
        <f t="shared" si="22"/>
        <v>3255</v>
      </c>
      <c r="F59" s="62">
        <v>3240</v>
      </c>
      <c r="G59" s="64">
        <f t="shared" si="3"/>
        <v>99.53917050691244</v>
      </c>
      <c r="H59" s="63"/>
      <c r="I59" s="64"/>
      <c r="J59" s="62">
        <f t="shared" si="18"/>
        <v>3240</v>
      </c>
      <c r="K59" s="56">
        <f t="shared" si="19"/>
        <v>99.53917050691244</v>
      </c>
      <c r="L59" s="62">
        <f t="shared" si="20"/>
        <v>3240</v>
      </c>
      <c r="M59" s="65">
        <f t="shared" si="21"/>
        <v>3240</v>
      </c>
      <c r="N59" s="65"/>
      <c r="O59" s="48">
        <f>((J59+P59)/C59)*100</f>
        <v>100</v>
      </c>
      <c r="P59" s="66">
        <v>15</v>
      </c>
    </row>
    <row r="60" spans="1:16" ht="13.5" customHeight="1">
      <c r="A60" s="60">
        <v>7</v>
      </c>
      <c r="B60" s="61" t="s">
        <v>118</v>
      </c>
      <c r="C60" s="62">
        <v>2812</v>
      </c>
      <c r="D60" s="62"/>
      <c r="E60" s="62">
        <f t="shared" si="22"/>
        <v>2812</v>
      </c>
      <c r="F60" s="62">
        <v>2812</v>
      </c>
      <c r="G60" s="64">
        <f t="shared" si="3"/>
        <v>100</v>
      </c>
      <c r="H60" s="63"/>
      <c r="I60" s="64"/>
      <c r="J60" s="62">
        <f t="shared" si="18"/>
        <v>2812</v>
      </c>
      <c r="K60" s="64">
        <f t="shared" si="19"/>
        <v>100</v>
      </c>
      <c r="L60" s="62">
        <f t="shared" si="20"/>
        <v>2812</v>
      </c>
      <c r="M60" s="65">
        <f t="shared" si="21"/>
        <v>2812</v>
      </c>
      <c r="N60" s="65"/>
      <c r="O60" s="47">
        <f>K60</f>
        <v>100</v>
      </c>
      <c r="P60" s="49"/>
    </row>
    <row r="61" spans="1:15" ht="13.5" customHeight="1">
      <c r="A61" s="60">
        <v>8</v>
      </c>
      <c r="B61" s="61" t="s">
        <v>119</v>
      </c>
      <c r="C61" s="62">
        <v>4285</v>
      </c>
      <c r="D61" s="62"/>
      <c r="E61" s="62">
        <f t="shared" si="22"/>
        <v>4285</v>
      </c>
      <c r="F61" s="62">
        <v>4285</v>
      </c>
      <c r="G61" s="64">
        <f t="shared" si="3"/>
        <v>100</v>
      </c>
      <c r="H61" s="63"/>
      <c r="I61" s="64"/>
      <c r="J61" s="62">
        <f t="shared" si="18"/>
        <v>4285</v>
      </c>
      <c r="K61" s="64">
        <f t="shared" si="19"/>
        <v>100</v>
      </c>
      <c r="L61" s="62">
        <f t="shared" si="20"/>
        <v>4285</v>
      </c>
      <c r="M61" s="65">
        <f t="shared" si="21"/>
        <v>4285</v>
      </c>
      <c r="N61" s="65"/>
      <c r="O61" s="47">
        <f>K61</f>
        <v>100</v>
      </c>
    </row>
    <row r="62" spans="1:15" ht="13.5" customHeight="1">
      <c r="A62" s="60">
        <v>9</v>
      </c>
      <c r="B62" s="61" t="s">
        <v>120</v>
      </c>
      <c r="C62" s="62">
        <v>4895</v>
      </c>
      <c r="D62" s="62"/>
      <c r="E62" s="62">
        <f t="shared" si="22"/>
        <v>4895</v>
      </c>
      <c r="F62" s="62">
        <v>4895</v>
      </c>
      <c r="G62" s="64">
        <f t="shared" si="3"/>
        <v>100</v>
      </c>
      <c r="H62" s="63"/>
      <c r="I62" s="64"/>
      <c r="J62" s="62">
        <f t="shared" si="18"/>
        <v>4895</v>
      </c>
      <c r="K62" s="64">
        <f t="shared" si="19"/>
        <v>100</v>
      </c>
      <c r="L62" s="62">
        <f t="shared" si="20"/>
        <v>4895</v>
      </c>
      <c r="M62" s="65">
        <f t="shared" si="21"/>
        <v>4895</v>
      </c>
      <c r="N62" s="65"/>
      <c r="O62" s="47">
        <f>K62</f>
        <v>100</v>
      </c>
    </row>
    <row r="63" spans="1:15" ht="13.5" customHeight="1">
      <c r="A63" s="60">
        <v>10</v>
      </c>
      <c r="B63" s="61" t="s">
        <v>121</v>
      </c>
      <c r="C63" s="62">
        <v>4682</v>
      </c>
      <c r="D63" s="62"/>
      <c r="E63" s="62">
        <f t="shared" si="22"/>
        <v>4682</v>
      </c>
      <c r="F63" s="62">
        <v>4682</v>
      </c>
      <c r="G63" s="64">
        <f t="shared" si="3"/>
        <v>100</v>
      </c>
      <c r="H63" s="63"/>
      <c r="I63" s="64"/>
      <c r="J63" s="62">
        <f t="shared" si="18"/>
        <v>4682</v>
      </c>
      <c r="K63" s="64">
        <f t="shared" si="19"/>
        <v>100</v>
      </c>
      <c r="L63" s="62">
        <f t="shared" si="20"/>
        <v>4682</v>
      </c>
      <c r="M63" s="65">
        <f t="shared" si="21"/>
        <v>4682</v>
      </c>
      <c r="N63" s="65"/>
      <c r="O63" s="47">
        <f>K63</f>
        <v>100</v>
      </c>
    </row>
    <row r="64" spans="1:15" ht="13.5" customHeight="1">
      <c r="A64" s="53">
        <v>5</v>
      </c>
      <c r="B64" s="54" t="s">
        <v>31</v>
      </c>
      <c r="C64" s="55"/>
      <c r="D64" s="55"/>
      <c r="E64" s="55"/>
      <c r="F64" s="55"/>
      <c r="G64" s="56"/>
      <c r="H64" s="57"/>
      <c r="I64" s="56"/>
      <c r="J64" s="57"/>
      <c r="K64" s="56"/>
      <c r="L64" s="58"/>
      <c r="M64" s="58"/>
      <c r="N64" s="59"/>
      <c r="O64" s="46"/>
    </row>
    <row r="65" spans="1:15" ht="13.5" customHeight="1">
      <c r="A65" s="60">
        <v>1</v>
      </c>
      <c r="B65" s="61" t="s">
        <v>32</v>
      </c>
      <c r="C65" s="62">
        <v>3135</v>
      </c>
      <c r="D65" s="62"/>
      <c r="E65" s="62">
        <f aca="true" t="shared" si="23" ref="E65:E75">C65</f>
        <v>3135</v>
      </c>
      <c r="F65" s="63">
        <v>3120</v>
      </c>
      <c r="G65" s="64">
        <f t="shared" si="3"/>
        <v>99.52153110047847</v>
      </c>
      <c r="H65" s="63"/>
      <c r="I65" s="64"/>
      <c r="J65" s="62">
        <f aca="true" t="shared" si="24" ref="J65:J75">F65</f>
        <v>3120</v>
      </c>
      <c r="K65" s="64">
        <f aca="true" t="shared" si="25" ref="K65:K75">J65/C65*100</f>
        <v>99.52153110047847</v>
      </c>
      <c r="L65" s="62">
        <f aca="true" t="shared" si="26" ref="L65:L75">J65</f>
        <v>3120</v>
      </c>
      <c r="M65" s="65">
        <f>L65</f>
        <v>3120</v>
      </c>
      <c r="N65" s="65"/>
      <c r="O65" s="45">
        <f>K65</f>
        <v>99.52153110047847</v>
      </c>
    </row>
    <row r="66" spans="1:15" ht="13.5" customHeight="1">
      <c r="A66" s="60">
        <v>2</v>
      </c>
      <c r="B66" s="61" t="s">
        <v>33</v>
      </c>
      <c r="C66" s="62">
        <v>1003</v>
      </c>
      <c r="D66" s="62"/>
      <c r="E66" s="62">
        <f t="shared" si="23"/>
        <v>1003</v>
      </c>
      <c r="F66" s="63">
        <v>1003</v>
      </c>
      <c r="G66" s="64">
        <f t="shared" si="3"/>
        <v>100</v>
      </c>
      <c r="H66" s="63"/>
      <c r="I66" s="64"/>
      <c r="J66" s="62">
        <f t="shared" si="24"/>
        <v>1003</v>
      </c>
      <c r="K66" s="64">
        <f t="shared" si="25"/>
        <v>100</v>
      </c>
      <c r="L66" s="62">
        <f t="shared" si="26"/>
        <v>1003</v>
      </c>
      <c r="M66" s="65">
        <f>L66</f>
        <v>1003</v>
      </c>
      <c r="N66" s="65"/>
      <c r="O66" s="45">
        <f>K66</f>
        <v>100</v>
      </c>
    </row>
    <row r="67" spans="1:15" ht="13.5" customHeight="1">
      <c r="A67" s="60">
        <v>3</v>
      </c>
      <c r="B67" s="61" t="s">
        <v>34</v>
      </c>
      <c r="C67" s="62">
        <v>2590</v>
      </c>
      <c r="D67" s="62"/>
      <c r="E67" s="62">
        <f t="shared" si="23"/>
        <v>2590</v>
      </c>
      <c r="F67" s="63">
        <v>2590</v>
      </c>
      <c r="G67" s="64">
        <f t="shared" si="3"/>
        <v>100</v>
      </c>
      <c r="H67" s="63"/>
      <c r="I67" s="64"/>
      <c r="J67" s="62">
        <f t="shared" si="24"/>
        <v>2590</v>
      </c>
      <c r="K67" s="64">
        <f t="shared" si="25"/>
        <v>100</v>
      </c>
      <c r="L67" s="62">
        <f t="shared" si="26"/>
        <v>2590</v>
      </c>
      <c r="M67" s="65">
        <f>L67</f>
        <v>2590</v>
      </c>
      <c r="N67" s="65"/>
      <c r="O67" s="45">
        <f>K67</f>
        <v>100</v>
      </c>
    </row>
    <row r="68" spans="1:16" ht="13.5" customHeight="1">
      <c r="A68" s="60">
        <v>4</v>
      </c>
      <c r="B68" s="61" t="s">
        <v>35</v>
      </c>
      <c r="C68" s="62">
        <v>4529</v>
      </c>
      <c r="D68" s="62"/>
      <c r="E68" s="62">
        <f t="shared" si="23"/>
        <v>4529</v>
      </c>
      <c r="F68" s="63">
        <v>4460</v>
      </c>
      <c r="G68" s="64">
        <f t="shared" si="3"/>
        <v>98.4764848752484</v>
      </c>
      <c r="H68" s="63"/>
      <c r="I68" s="64"/>
      <c r="J68" s="62">
        <f t="shared" si="24"/>
        <v>4460</v>
      </c>
      <c r="K68" s="56">
        <f t="shared" si="25"/>
        <v>98.4764848752484</v>
      </c>
      <c r="L68" s="62">
        <f t="shared" si="26"/>
        <v>4460</v>
      </c>
      <c r="M68" s="65">
        <f>L68</f>
        <v>4460</v>
      </c>
      <c r="N68" s="65"/>
      <c r="O68" s="48">
        <f>((J68+P68)/C68)*100</f>
        <v>100</v>
      </c>
      <c r="P68" s="1">
        <v>69</v>
      </c>
    </row>
    <row r="69" spans="1:15" ht="13.5" customHeight="1">
      <c r="A69" s="60">
        <v>5</v>
      </c>
      <c r="B69" s="61" t="s">
        <v>36</v>
      </c>
      <c r="C69" s="62">
        <v>1824</v>
      </c>
      <c r="D69" s="62"/>
      <c r="E69" s="62">
        <f t="shared" si="23"/>
        <v>1824</v>
      </c>
      <c r="F69" s="63">
        <v>1824</v>
      </c>
      <c r="G69" s="64">
        <f t="shared" si="3"/>
        <v>100</v>
      </c>
      <c r="H69" s="63"/>
      <c r="I69" s="64"/>
      <c r="J69" s="62">
        <f t="shared" si="24"/>
        <v>1824</v>
      </c>
      <c r="K69" s="64">
        <f t="shared" si="25"/>
        <v>100</v>
      </c>
      <c r="L69" s="62">
        <f t="shared" si="26"/>
        <v>1824</v>
      </c>
      <c r="M69" s="65">
        <f>L69</f>
        <v>1824</v>
      </c>
      <c r="N69" s="65"/>
      <c r="O69" s="45">
        <f>K69</f>
        <v>100</v>
      </c>
    </row>
    <row r="70" spans="1:15" ht="13.5" customHeight="1">
      <c r="A70" s="60">
        <v>6</v>
      </c>
      <c r="B70" s="61" t="s">
        <v>37</v>
      </c>
      <c r="C70" s="62">
        <v>5793</v>
      </c>
      <c r="D70" s="62"/>
      <c r="E70" s="62">
        <f t="shared" si="23"/>
        <v>5793</v>
      </c>
      <c r="F70" s="63">
        <v>5793</v>
      </c>
      <c r="G70" s="64">
        <f t="shared" si="3"/>
        <v>100</v>
      </c>
      <c r="H70" s="63"/>
      <c r="I70" s="64"/>
      <c r="J70" s="62">
        <f t="shared" si="24"/>
        <v>5793</v>
      </c>
      <c r="K70" s="64">
        <f t="shared" si="25"/>
        <v>100</v>
      </c>
      <c r="L70" s="62">
        <f t="shared" si="26"/>
        <v>5793</v>
      </c>
      <c r="M70" s="65">
        <f>L70-N70</f>
        <v>5495</v>
      </c>
      <c r="N70" s="65">
        <v>298</v>
      </c>
      <c r="O70" s="45">
        <f>K70</f>
        <v>100</v>
      </c>
    </row>
    <row r="71" spans="1:15" ht="13.5" customHeight="1">
      <c r="A71" s="60">
        <v>7</v>
      </c>
      <c r="B71" s="61" t="s">
        <v>38</v>
      </c>
      <c r="C71" s="62">
        <v>1573</v>
      </c>
      <c r="D71" s="62"/>
      <c r="E71" s="62">
        <f t="shared" si="23"/>
        <v>1573</v>
      </c>
      <c r="F71" s="63">
        <v>1573</v>
      </c>
      <c r="G71" s="64">
        <f t="shared" si="3"/>
        <v>100</v>
      </c>
      <c r="H71" s="63"/>
      <c r="I71" s="64"/>
      <c r="J71" s="62">
        <f t="shared" si="24"/>
        <v>1573</v>
      </c>
      <c r="K71" s="64">
        <f t="shared" si="25"/>
        <v>100</v>
      </c>
      <c r="L71" s="62">
        <f t="shared" si="26"/>
        <v>1573</v>
      </c>
      <c r="M71" s="65">
        <f>L71</f>
        <v>1573</v>
      </c>
      <c r="N71" s="65"/>
      <c r="O71" s="45">
        <f>K71</f>
        <v>100</v>
      </c>
    </row>
    <row r="72" spans="1:15" ht="13.5" customHeight="1">
      <c r="A72" s="60">
        <v>8</v>
      </c>
      <c r="B72" s="61" t="s">
        <v>39</v>
      </c>
      <c r="C72" s="62">
        <v>2664</v>
      </c>
      <c r="D72" s="62"/>
      <c r="E72" s="62">
        <f t="shared" si="23"/>
        <v>2664</v>
      </c>
      <c r="F72" s="63">
        <v>2664</v>
      </c>
      <c r="G72" s="64">
        <f t="shared" si="3"/>
        <v>100</v>
      </c>
      <c r="H72" s="63"/>
      <c r="I72" s="64"/>
      <c r="J72" s="62">
        <f t="shared" si="24"/>
        <v>2664</v>
      </c>
      <c r="K72" s="64">
        <f t="shared" si="25"/>
        <v>100</v>
      </c>
      <c r="L72" s="62">
        <f t="shared" si="26"/>
        <v>2664</v>
      </c>
      <c r="M72" s="65">
        <f>L72</f>
        <v>2664</v>
      </c>
      <c r="N72" s="65"/>
      <c r="O72" s="45">
        <f>K72</f>
        <v>100</v>
      </c>
    </row>
    <row r="73" spans="1:15" ht="13.5" customHeight="1">
      <c r="A73" s="60">
        <v>9</v>
      </c>
      <c r="B73" s="61" t="s">
        <v>40</v>
      </c>
      <c r="C73" s="62">
        <v>1658</v>
      </c>
      <c r="D73" s="62"/>
      <c r="E73" s="62">
        <f t="shared" si="23"/>
        <v>1658</v>
      </c>
      <c r="F73" s="63">
        <v>1658</v>
      </c>
      <c r="G73" s="64">
        <f t="shared" si="3"/>
        <v>100</v>
      </c>
      <c r="H73" s="63"/>
      <c r="I73" s="64"/>
      <c r="J73" s="62">
        <f t="shared" si="24"/>
        <v>1658</v>
      </c>
      <c r="K73" s="64">
        <f t="shared" si="25"/>
        <v>100</v>
      </c>
      <c r="L73" s="62">
        <f t="shared" si="26"/>
        <v>1658</v>
      </c>
      <c r="M73" s="65">
        <f>L73</f>
        <v>1658</v>
      </c>
      <c r="N73" s="65"/>
      <c r="O73" s="45">
        <f>K73</f>
        <v>100</v>
      </c>
    </row>
    <row r="74" spans="1:16" ht="13.5" customHeight="1">
      <c r="A74" s="60">
        <v>10</v>
      </c>
      <c r="B74" s="61" t="s">
        <v>41</v>
      </c>
      <c r="C74" s="62">
        <f>1983-831</f>
        <v>1152</v>
      </c>
      <c r="D74" s="62"/>
      <c r="E74" s="62">
        <f t="shared" si="23"/>
        <v>1152</v>
      </c>
      <c r="F74" s="63">
        <v>750</v>
      </c>
      <c r="G74" s="64">
        <f t="shared" si="3"/>
        <v>65.10416666666666</v>
      </c>
      <c r="H74" s="63"/>
      <c r="I74" s="64"/>
      <c r="J74" s="62">
        <f t="shared" si="24"/>
        <v>750</v>
      </c>
      <c r="K74" s="56">
        <f t="shared" si="25"/>
        <v>65.10416666666666</v>
      </c>
      <c r="L74" s="62">
        <f t="shared" si="26"/>
        <v>750</v>
      </c>
      <c r="M74" s="65">
        <f>L74-N74</f>
        <v>716</v>
      </c>
      <c r="N74" s="65">
        <v>34</v>
      </c>
      <c r="O74" s="48">
        <f>((J74+P74)/C74)*100</f>
        <v>91.14583333333334</v>
      </c>
      <c r="P74" s="1">
        <v>300</v>
      </c>
    </row>
    <row r="75" spans="1:15" ht="13.5" customHeight="1">
      <c r="A75" s="60">
        <v>11</v>
      </c>
      <c r="B75" s="61" t="s">
        <v>42</v>
      </c>
      <c r="C75" s="62">
        <v>1116</v>
      </c>
      <c r="D75" s="62"/>
      <c r="E75" s="62">
        <f t="shared" si="23"/>
        <v>1116</v>
      </c>
      <c r="F75" s="63">
        <v>1058</v>
      </c>
      <c r="G75" s="64">
        <f t="shared" si="3"/>
        <v>94.80286738351255</v>
      </c>
      <c r="H75" s="63"/>
      <c r="I75" s="64"/>
      <c r="J75" s="62">
        <f t="shared" si="24"/>
        <v>1058</v>
      </c>
      <c r="K75" s="64">
        <f t="shared" si="25"/>
        <v>94.80286738351255</v>
      </c>
      <c r="L75" s="62">
        <f t="shared" si="26"/>
        <v>1058</v>
      </c>
      <c r="M75" s="65">
        <f>L75</f>
        <v>1058</v>
      </c>
      <c r="N75" s="65"/>
      <c r="O75" s="45">
        <f>K75</f>
        <v>94.80286738351255</v>
      </c>
    </row>
    <row r="76" spans="1:15" ht="13.5" customHeight="1">
      <c r="A76" s="53">
        <v>6</v>
      </c>
      <c r="B76" s="54" t="s">
        <v>57</v>
      </c>
      <c r="C76" s="55"/>
      <c r="D76" s="55"/>
      <c r="E76" s="55"/>
      <c r="F76" s="55"/>
      <c r="G76" s="56"/>
      <c r="H76" s="57"/>
      <c r="I76" s="56"/>
      <c r="J76" s="57"/>
      <c r="K76" s="56"/>
      <c r="L76" s="58"/>
      <c r="M76" s="58"/>
      <c r="N76" s="59"/>
      <c r="O76" s="46"/>
    </row>
    <row r="77" spans="1:16" ht="13.5" customHeight="1">
      <c r="A77" s="60">
        <v>1</v>
      </c>
      <c r="B77" s="61" t="s">
        <v>58</v>
      </c>
      <c r="C77" s="62">
        <v>1981</v>
      </c>
      <c r="D77" s="62"/>
      <c r="E77" s="62">
        <f aca="true" t="shared" si="27" ref="E77:E83">C77</f>
        <v>1981</v>
      </c>
      <c r="F77" s="62">
        <v>1960</v>
      </c>
      <c r="G77" s="64">
        <f t="shared" si="3"/>
        <v>98.93992932862191</v>
      </c>
      <c r="H77" s="63"/>
      <c r="I77" s="64"/>
      <c r="J77" s="62">
        <f aca="true" t="shared" si="28" ref="J77:J83">F77</f>
        <v>1960</v>
      </c>
      <c r="K77" s="56">
        <f aca="true" t="shared" si="29" ref="K77:K83">J77/C77*100</f>
        <v>98.93992932862191</v>
      </c>
      <c r="L77" s="62">
        <f aca="true" t="shared" si="30" ref="L77:L83">J77</f>
        <v>1960</v>
      </c>
      <c r="M77" s="65">
        <f aca="true" t="shared" si="31" ref="M77:M136">L77</f>
        <v>1960</v>
      </c>
      <c r="N77" s="65"/>
      <c r="O77" s="48">
        <f>((J77+P77)/C77)*100</f>
        <v>100</v>
      </c>
      <c r="P77" s="1">
        <v>21</v>
      </c>
    </row>
    <row r="78" spans="1:16" ht="13.5" customHeight="1">
      <c r="A78" s="60">
        <v>2</v>
      </c>
      <c r="B78" s="61" t="s">
        <v>59</v>
      </c>
      <c r="C78" s="62">
        <v>1990</v>
      </c>
      <c r="D78" s="62"/>
      <c r="E78" s="62">
        <f t="shared" si="27"/>
        <v>1990</v>
      </c>
      <c r="F78" s="62">
        <v>1982</v>
      </c>
      <c r="G78" s="64">
        <f t="shared" si="3"/>
        <v>99.59798994974875</v>
      </c>
      <c r="H78" s="63"/>
      <c r="I78" s="64"/>
      <c r="J78" s="62">
        <f t="shared" si="28"/>
        <v>1982</v>
      </c>
      <c r="K78" s="56">
        <f t="shared" si="29"/>
        <v>99.59798994974875</v>
      </c>
      <c r="L78" s="62">
        <f t="shared" si="30"/>
        <v>1982</v>
      </c>
      <c r="M78" s="65">
        <f t="shared" si="31"/>
        <v>1982</v>
      </c>
      <c r="N78" s="65"/>
      <c r="O78" s="48">
        <f>((J78+P78)/C78)*100</f>
        <v>100</v>
      </c>
      <c r="P78" s="1">
        <v>8</v>
      </c>
    </row>
    <row r="79" spans="1:16" ht="13.5" customHeight="1">
      <c r="A79" s="60">
        <v>3</v>
      </c>
      <c r="B79" s="61" t="s">
        <v>60</v>
      </c>
      <c r="C79" s="62">
        <v>1195</v>
      </c>
      <c r="D79" s="62"/>
      <c r="E79" s="62">
        <f t="shared" si="27"/>
        <v>1195</v>
      </c>
      <c r="F79" s="62">
        <v>1180</v>
      </c>
      <c r="G79" s="64">
        <f t="shared" si="3"/>
        <v>98.74476987447699</v>
      </c>
      <c r="H79" s="63"/>
      <c r="I79" s="64"/>
      <c r="J79" s="62">
        <f t="shared" si="28"/>
        <v>1180</v>
      </c>
      <c r="K79" s="56">
        <f t="shared" si="29"/>
        <v>98.74476987447699</v>
      </c>
      <c r="L79" s="62">
        <f t="shared" si="30"/>
        <v>1180</v>
      </c>
      <c r="M79" s="65">
        <f t="shared" si="31"/>
        <v>1180</v>
      </c>
      <c r="N79" s="65"/>
      <c r="O79" s="48">
        <f>((J79+P79)/C79)*100</f>
        <v>100</v>
      </c>
      <c r="P79" s="1">
        <v>15</v>
      </c>
    </row>
    <row r="80" spans="1:15" ht="13.5" customHeight="1">
      <c r="A80" s="60">
        <v>4</v>
      </c>
      <c r="B80" s="61" t="s">
        <v>61</v>
      </c>
      <c r="C80" s="62">
        <v>1485</v>
      </c>
      <c r="D80" s="62"/>
      <c r="E80" s="62">
        <f t="shared" si="27"/>
        <v>1485</v>
      </c>
      <c r="F80" s="62">
        <v>1485</v>
      </c>
      <c r="G80" s="64">
        <f t="shared" si="3"/>
        <v>100</v>
      </c>
      <c r="H80" s="63"/>
      <c r="I80" s="64"/>
      <c r="J80" s="62">
        <f t="shared" si="28"/>
        <v>1485</v>
      </c>
      <c r="K80" s="64">
        <f t="shared" si="29"/>
        <v>100</v>
      </c>
      <c r="L80" s="62">
        <f t="shared" si="30"/>
        <v>1485</v>
      </c>
      <c r="M80" s="65">
        <f t="shared" si="31"/>
        <v>1485</v>
      </c>
      <c r="N80" s="65"/>
      <c r="O80" s="45">
        <f>K80</f>
        <v>100</v>
      </c>
    </row>
    <row r="81" spans="1:16" ht="13.5" customHeight="1">
      <c r="A81" s="60">
        <v>5</v>
      </c>
      <c r="B81" s="61" t="s">
        <v>62</v>
      </c>
      <c r="C81" s="62">
        <v>1598</v>
      </c>
      <c r="D81" s="62"/>
      <c r="E81" s="62">
        <f t="shared" si="27"/>
        <v>1598</v>
      </c>
      <c r="F81" s="62">
        <v>1465</v>
      </c>
      <c r="G81" s="64">
        <f t="shared" si="3"/>
        <v>91.67709637046308</v>
      </c>
      <c r="H81" s="63"/>
      <c r="I81" s="64"/>
      <c r="J81" s="62">
        <f t="shared" si="28"/>
        <v>1465</v>
      </c>
      <c r="K81" s="56">
        <f t="shared" si="29"/>
        <v>91.67709637046308</v>
      </c>
      <c r="L81" s="62">
        <f t="shared" si="30"/>
        <v>1465</v>
      </c>
      <c r="M81" s="65">
        <f t="shared" si="31"/>
        <v>1465</v>
      </c>
      <c r="N81" s="65"/>
      <c r="O81" s="48">
        <f>((J81+P81)/C81)*100</f>
        <v>100</v>
      </c>
      <c r="P81" s="1">
        <v>133</v>
      </c>
    </row>
    <row r="82" spans="1:16" ht="13.5" customHeight="1">
      <c r="A82" s="60">
        <v>6</v>
      </c>
      <c r="B82" s="61" t="s">
        <v>63</v>
      </c>
      <c r="C82" s="62">
        <v>2557</v>
      </c>
      <c r="D82" s="62"/>
      <c r="E82" s="62">
        <f t="shared" si="27"/>
        <v>2557</v>
      </c>
      <c r="F82" s="62">
        <v>2543</v>
      </c>
      <c r="G82" s="64">
        <f t="shared" si="3"/>
        <v>99.45248337895973</v>
      </c>
      <c r="H82" s="63"/>
      <c r="I82" s="64"/>
      <c r="J82" s="62">
        <f t="shared" si="28"/>
        <v>2543</v>
      </c>
      <c r="K82" s="56">
        <f t="shared" si="29"/>
        <v>99.45248337895973</v>
      </c>
      <c r="L82" s="62">
        <f t="shared" si="30"/>
        <v>2543</v>
      </c>
      <c r="M82" s="65">
        <f t="shared" si="31"/>
        <v>2543</v>
      </c>
      <c r="N82" s="65"/>
      <c r="O82" s="48">
        <f>((J82+P82)/C82)*100</f>
        <v>100</v>
      </c>
      <c r="P82" s="1">
        <v>14</v>
      </c>
    </row>
    <row r="83" spans="1:15" ht="13.5" customHeight="1">
      <c r="A83" s="60">
        <v>7</v>
      </c>
      <c r="B83" s="61" t="s">
        <v>64</v>
      </c>
      <c r="C83" s="62">
        <v>1949</v>
      </c>
      <c r="D83" s="62"/>
      <c r="E83" s="62">
        <f t="shared" si="27"/>
        <v>1949</v>
      </c>
      <c r="F83" s="62">
        <v>1949</v>
      </c>
      <c r="G83" s="64">
        <f t="shared" si="3"/>
        <v>100</v>
      </c>
      <c r="H83" s="63"/>
      <c r="I83" s="64"/>
      <c r="J83" s="62">
        <f t="shared" si="28"/>
        <v>1949</v>
      </c>
      <c r="K83" s="64">
        <f t="shared" si="29"/>
        <v>100</v>
      </c>
      <c r="L83" s="62">
        <f t="shared" si="30"/>
        <v>1949</v>
      </c>
      <c r="M83" s="65">
        <f t="shared" si="31"/>
        <v>1949</v>
      </c>
      <c r="N83" s="65"/>
      <c r="O83" s="45">
        <f>K83</f>
        <v>100</v>
      </c>
    </row>
    <row r="84" spans="1:15" ht="13.5" customHeight="1">
      <c r="A84" s="60">
        <v>8</v>
      </c>
      <c r="B84" s="61" t="s">
        <v>65</v>
      </c>
      <c r="C84" s="62">
        <v>3112</v>
      </c>
      <c r="D84" s="62"/>
      <c r="E84" s="62">
        <f aca="true" t="shared" si="32" ref="E84:E89">C84</f>
        <v>3112</v>
      </c>
      <c r="F84" s="62">
        <v>3100</v>
      </c>
      <c r="G84" s="64">
        <f t="shared" si="3"/>
        <v>99.61439588688947</v>
      </c>
      <c r="H84" s="63"/>
      <c r="I84" s="64"/>
      <c r="J84" s="62">
        <f aca="true" t="shared" si="33" ref="J84:J89">F84</f>
        <v>3100</v>
      </c>
      <c r="K84" s="64">
        <f aca="true" t="shared" si="34" ref="K84:K89">J84/C84*100</f>
        <v>99.61439588688947</v>
      </c>
      <c r="L84" s="62">
        <f aca="true" t="shared" si="35" ref="L84:L89">J84</f>
        <v>3100</v>
      </c>
      <c r="M84" s="65">
        <f t="shared" si="31"/>
        <v>3100</v>
      </c>
      <c r="N84" s="65"/>
      <c r="O84" s="45">
        <f aca="true" t="shared" si="36" ref="O84:O89">K84</f>
        <v>99.61439588688947</v>
      </c>
    </row>
    <row r="85" spans="1:15" ht="13.5" customHeight="1">
      <c r="A85" s="60">
        <v>9</v>
      </c>
      <c r="B85" s="61" t="s">
        <v>66</v>
      </c>
      <c r="C85" s="62">
        <v>2144</v>
      </c>
      <c r="D85" s="62"/>
      <c r="E85" s="62">
        <f t="shared" si="32"/>
        <v>2144</v>
      </c>
      <c r="F85" s="62">
        <v>2124</v>
      </c>
      <c r="G85" s="64">
        <f aca="true" t="shared" si="37" ref="G85:G148">F85/C85*100</f>
        <v>99.06716417910447</v>
      </c>
      <c r="H85" s="63"/>
      <c r="I85" s="64"/>
      <c r="J85" s="62">
        <f t="shared" si="33"/>
        <v>2124</v>
      </c>
      <c r="K85" s="64">
        <f t="shared" si="34"/>
        <v>99.06716417910447</v>
      </c>
      <c r="L85" s="62">
        <f t="shared" si="35"/>
        <v>2124</v>
      </c>
      <c r="M85" s="65">
        <f t="shared" si="31"/>
        <v>2124</v>
      </c>
      <c r="N85" s="65"/>
      <c r="O85" s="45">
        <f t="shared" si="36"/>
        <v>99.06716417910447</v>
      </c>
    </row>
    <row r="86" spans="1:15" ht="13.5" customHeight="1">
      <c r="A86" s="60">
        <v>10</v>
      </c>
      <c r="B86" s="61" t="s">
        <v>67</v>
      </c>
      <c r="C86" s="62">
        <v>4089</v>
      </c>
      <c r="D86" s="62"/>
      <c r="E86" s="62">
        <f t="shared" si="32"/>
        <v>4089</v>
      </c>
      <c r="F86" s="62">
        <v>3643</v>
      </c>
      <c r="G86" s="64">
        <f t="shared" si="37"/>
        <v>89.09268769870384</v>
      </c>
      <c r="H86" s="63"/>
      <c r="I86" s="64"/>
      <c r="J86" s="62">
        <f t="shared" si="33"/>
        <v>3643</v>
      </c>
      <c r="K86" s="64">
        <f t="shared" si="34"/>
        <v>89.09268769870384</v>
      </c>
      <c r="L86" s="62">
        <f t="shared" si="35"/>
        <v>3643</v>
      </c>
      <c r="M86" s="65">
        <f t="shared" si="31"/>
        <v>3643</v>
      </c>
      <c r="N86" s="65"/>
      <c r="O86" s="45">
        <f t="shared" si="36"/>
        <v>89.09268769870384</v>
      </c>
    </row>
    <row r="87" spans="1:15" ht="13.5" customHeight="1">
      <c r="A87" s="60">
        <v>11</v>
      </c>
      <c r="B87" s="61" t="s">
        <v>68</v>
      </c>
      <c r="C87" s="62">
        <v>3998</v>
      </c>
      <c r="D87" s="62"/>
      <c r="E87" s="62">
        <f t="shared" si="32"/>
        <v>3998</v>
      </c>
      <c r="F87" s="62">
        <v>3896</v>
      </c>
      <c r="G87" s="64">
        <f t="shared" si="37"/>
        <v>97.4487243621811</v>
      </c>
      <c r="H87" s="63"/>
      <c r="I87" s="64"/>
      <c r="J87" s="62">
        <f t="shared" si="33"/>
        <v>3896</v>
      </c>
      <c r="K87" s="64">
        <f t="shared" si="34"/>
        <v>97.4487243621811</v>
      </c>
      <c r="L87" s="62">
        <f t="shared" si="35"/>
        <v>3896</v>
      </c>
      <c r="M87" s="65">
        <f t="shared" si="31"/>
        <v>3896</v>
      </c>
      <c r="N87" s="65"/>
      <c r="O87" s="45">
        <f t="shared" si="36"/>
        <v>97.4487243621811</v>
      </c>
    </row>
    <row r="88" spans="1:15" ht="13.5" customHeight="1">
      <c r="A88" s="60">
        <v>12</v>
      </c>
      <c r="B88" s="61" t="s">
        <v>69</v>
      </c>
      <c r="C88" s="62">
        <v>3690</v>
      </c>
      <c r="D88" s="62"/>
      <c r="E88" s="62">
        <f t="shared" si="32"/>
        <v>3690</v>
      </c>
      <c r="F88" s="62">
        <v>3641</v>
      </c>
      <c r="G88" s="64">
        <f t="shared" si="37"/>
        <v>98.67208672086721</v>
      </c>
      <c r="H88" s="63"/>
      <c r="I88" s="64"/>
      <c r="J88" s="62">
        <f t="shared" si="33"/>
        <v>3641</v>
      </c>
      <c r="K88" s="64">
        <f t="shared" si="34"/>
        <v>98.67208672086721</v>
      </c>
      <c r="L88" s="62">
        <f t="shared" si="35"/>
        <v>3641</v>
      </c>
      <c r="M88" s="65">
        <f t="shared" si="31"/>
        <v>3641</v>
      </c>
      <c r="N88" s="65"/>
      <c r="O88" s="45">
        <f t="shared" si="36"/>
        <v>98.67208672086721</v>
      </c>
    </row>
    <row r="89" spans="1:16" ht="13.5" customHeight="1">
      <c r="A89" s="60">
        <v>13</v>
      </c>
      <c r="B89" s="61" t="s">
        <v>70</v>
      </c>
      <c r="C89" s="62">
        <v>1883</v>
      </c>
      <c r="D89" s="62"/>
      <c r="E89" s="62">
        <f t="shared" si="32"/>
        <v>1883</v>
      </c>
      <c r="F89" s="62">
        <v>1763</v>
      </c>
      <c r="G89" s="64">
        <f t="shared" si="37"/>
        <v>93.62719065321295</v>
      </c>
      <c r="H89" s="63"/>
      <c r="I89" s="64"/>
      <c r="J89" s="62">
        <f t="shared" si="33"/>
        <v>1763</v>
      </c>
      <c r="K89" s="64">
        <f t="shared" si="34"/>
        <v>93.62719065321295</v>
      </c>
      <c r="L89" s="62">
        <f t="shared" si="35"/>
        <v>1763</v>
      </c>
      <c r="M89" s="65">
        <f t="shared" si="31"/>
        <v>1763</v>
      </c>
      <c r="N89" s="65"/>
      <c r="O89" s="45">
        <f t="shared" si="36"/>
        <v>93.62719065321295</v>
      </c>
      <c r="P89" s="49"/>
    </row>
    <row r="90" spans="1:17" ht="13.5" customHeight="1">
      <c r="A90" s="53">
        <v>7</v>
      </c>
      <c r="B90" s="54" t="s">
        <v>71</v>
      </c>
      <c r="C90" s="55"/>
      <c r="D90" s="55"/>
      <c r="E90" s="55"/>
      <c r="F90" s="55"/>
      <c r="G90" s="56"/>
      <c r="H90" s="57"/>
      <c r="I90" s="56"/>
      <c r="J90" s="57"/>
      <c r="K90" s="56"/>
      <c r="L90" s="58"/>
      <c r="M90" s="58"/>
      <c r="N90" s="59"/>
      <c r="O90" s="46"/>
      <c r="P90" s="49"/>
      <c r="Q90" s="16"/>
    </row>
    <row r="91" spans="1:17" ht="13.5" customHeight="1">
      <c r="A91" s="60">
        <v>1</v>
      </c>
      <c r="B91" s="61" t="s">
        <v>72</v>
      </c>
      <c r="C91" s="62">
        <v>3826</v>
      </c>
      <c r="D91" s="62"/>
      <c r="E91" s="62">
        <f aca="true" t="shared" si="38" ref="E91:E104">C91</f>
        <v>3826</v>
      </c>
      <c r="F91" s="62">
        <v>3565</v>
      </c>
      <c r="G91" s="64">
        <f t="shared" si="37"/>
        <v>93.17825405122844</v>
      </c>
      <c r="H91" s="63"/>
      <c r="I91" s="64"/>
      <c r="J91" s="62">
        <f aca="true" t="shared" si="39" ref="J91:J104">F91</f>
        <v>3565</v>
      </c>
      <c r="K91" s="56">
        <f aca="true" t="shared" si="40" ref="K91:K104">J91/C91*100</f>
        <v>93.17825405122844</v>
      </c>
      <c r="L91" s="62">
        <f aca="true" t="shared" si="41" ref="L91:L104">J91</f>
        <v>3565</v>
      </c>
      <c r="M91" s="65">
        <f t="shared" si="31"/>
        <v>3565</v>
      </c>
      <c r="N91" s="65"/>
      <c r="O91" s="48">
        <f aca="true" t="shared" si="42" ref="O91:O121">((J91+P91)/C91)*100</f>
        <v>98.95452169367486</v>
      </c>
      <c r="P91" s="66">
        <v>221</v>
      </c>
      <c r="Q91" s="16"/>
    </row>
    <row r="92" spans="1:17" ht="13.5" customHeight="1">
      <c r="A92" s="60">
        <v>2</v>
      </c>
      <c r="B92" s="61" t="s">
        <v>73</v>
      </c>
      <c r="C92" s="62">
        <v>1907</v>
      </c>
      <c r="D92" s="62"/>
      <c r="E92" s="62">
        <f t="shared" si="38"/>
        <v>1907</v>
      </c>
      <c r="F92" s="62">
        <v>1766</v>
      </c>
      <c r="G92" s="64">
        <f t="shared" si="37"/>
        <v>92.60618772941794</v>
      </c>
      <c r="H92" s="63"/>
      <c r="I92" s="64"/>
      <c r="J92" s="62">
        <f t="shared" si="39"/>
        <v>1766</v>
      </c>
      <c r="K92" s="56">
        <f t="shared" si="40"/>
        <v>92.60618772941794</v>
      </c>
      <c r="L92" s="62">
        <f t="shared" si="41"/>
        <v>1766</v>
      </c>
      <c r="M92" s="65">
        <f t="shared" si="31"/>
        <v>1766</v>
      </c>
      <c r="N92" s="65"/>
      <c r="O92" s="48">
        <f t="shared" si="42"/>
        <v>99.73780807551127</v>
      </c>
      <c r="P92" s="66">
        <v>136</v>
      </c>
      <c r="Q92" s="16"/>
    </row>
    <row r="93" spans="1:17" ht="13.5" customHeight="1">
      <c r="A93" s="60">
        <v>3</v>
      </c>
      <c r="B93" s="61" t="s">
        <v>74</v>
      </c>
      <c r="C93" s="62">
        <v>2058</v>
      </c>
      <c r="D93" s="62"/>
      <c r="E93" s="62">
        <f t="shared" si="38"/>
        <v>2058</v>
      </c>
      <c r="F93" s="62">
        <v>2043</v>
      </c>
      <c r="G93" s="64">
        <f t="shared" si="37"/>
        <v>99.27113702623906</v>
      </c>
      <c r="H93" s="63"/>
      <c r="I93" s="64"/>
      <c r="J93" s="62">
        <f t="shared" si="39"/>
        <v>2043</v>
      </c>
      <c r="K93" s="56">
        <f t="shared" si="40"/>
        <v>99.27113702623906</v>
      </c>
      <c r="L93" s="62">
        <f t="shared" si="41"/>
        <v>2043</v>
      </c>
      <c r="M93" s="65">
        <f t="shared" si="31"/>
        <v>2043</v>
      </c>
      <c r="N93" s="65"/>
      <c r="O93" s="48">
        <f t="shared" si="42"/>
        <v>99.85422740524781</v>
      </c>
      <c r="P93" s="66">
        <v>12</v>
      </c>
      <c r="Q93" s="16"/>
    </row>
    <row r="94" spans="1:17" ht="13.5" customHeight="1">
      <c r="A94" s="60">
        <v>4</v>
      </c>
      <c r="B94" s="61" t="s">
        <v>75</v>
      </c>
      <c r="C94" s="62">
        <v>3816</v>
      </c>
      <c r="D94" s="62"/>
      <c r="E94" s="62">
        <f t="shared" si="38"/>
        <v>3816</v>
      </c>
      <c r="F94" s="62">
        <v>3802</v>
      </c>
      <c r="G94" s="64">
        <f t="shared" si="37"/>
        <v>99.63312368972747</v>
      </c>
      <c r="H94" s="63"/>
      <c r="I94" s="64"/>
      <c r="J94" s="62">
        <f t="shared" si="39"/>
        <v>3802</v>
      </c>
      <c r="K94" s="56">
        <f t="shared" si="40"/>
        <v>99.63312368972747</v>
      </c>
      <c r="L94" s="62">
        <f t="shared" si="41"/>
        <v>3802</v>
      </c>
      <c r="M94" s="65">
        <f t="shared" si="31"/>
        <v>3802</v>
      </c>
      <c r="N94" s="65"/>
      <c r="O94" s="48">
        <f t="shared" si="42"/>
        <v>99.895178197065</v>
      </c>
      <c r="P94" s="66">
        <v>10</v>
      </c>
      <c r="Q94" s="16"/>
    </row>
    <row r="95" spans="1:17" ht="13.5" customHeight="1">
      <c r="A95" s="60">
        <v>5</v>
      </c>
      <c r="B95" s="61" t="s">
        <v>76</v>
      </c>
      <c r="C95" s="62">
        <v>3835</v>
      </c>
      <c r="D95" s="62"/>
      <c r="E95" s="62">
        <f t="shared" si="38"/>
        <v>3835</v>
      </c>
      <c r="F95" s="62">
        <v>3802</v>
      </c>
      <c r="G95" s="64">
        <f t="shared" si="37"/>
        <v>99.13950456323337</v>
      </c>
      <c r="H95" s="63"/>
      <c r="I95" s="64"/>
      <c r="J95" s="62">
        <f t="shared" si="39"/>
        <v>3802</v>
      </c>
      <c r="K95" s="56">
        <f t="shared" si="40"/>
        <v>99.13950456323337</v>
      </c>
      <c r="L95" s="62">
        <f t="shared" si="41"/>
        <v>3802</v>
      </c>
      <c r="M95" s="65">
        <f t="shared" si="31"/>
        <v>3802</v>
      </c>
      <c r="N95" s="65"/>
      <c r="O95" s="48">
        <f t="shared" si="42"/>
        <v>100</v>
      </c>
      <c r="P95" s="66">
        <v>33</v>
      </c>
      <c r="Q95" s="16"/>
    </row>
    <row r="96" spans="1:17" ht="13.5" customHeight="1">
      <c r="A96" s="60">
        <v>6</v>
      </c>
      <c r="B96" s="61" t="s">
        <v>77</v>
      </c>
      <c r="C96" s="62">
        <v>2547</v>
      </c>
      <c r="D96" s="62"/>
      <c r="E96" s="62">
        <f t="shared" si="38"/>
        <v>2547</v>
      </c>
      <c r="F96" s="62">
        <v>2494</v>
      </c>
      <c r="G96" s="64">
        <f t="shared" si="37"/>
        <v>97.91912053396152</v>
      </c>
      <c r="H96" s="63"/>
      <c r="I96" s="64"/>
      <c r="J96" s="62">
        <f t="shared" si="39"/>
        <v>2494</v>
      </c>
      <c r="K96" s="56">
        <f t="shared" si="40"/>
        <v>97.91912053396152</v>
      </c>
      <c r="L96" s="62">
        <f t="shared" si="41"/>
        <v>2494</v>
      </c>
      <c r="M96" s="65">
        <f t="shared" si="31"/>
        <v>2494</v>
      </c>
      <c r="N96" s="65"/>
      <c r="O96" s="48">
        <f t="shared" si="42"/>
        <v>99.80369061641147</v>
      </c>
      <c r="P96" s="66">
        <v>48</v>
      </c>
      <c r="Q96" s="16"/>
    </row>
    <row r="97" spans="1:17" ht="13.5" customHeight="1">
      <c r="A97" s="60">
        <v>7</v>
      </c>
      <c r="B97" s="61" t="s">
        <v>78</v>
      </c>
      <c r="C97" s="62">
        <v>4840</v>
      </c>
      <c r="D97" s="62"/>
      <c r="E97" s="62">
        <f t="shared" si="38"/>
        <v>4840</v>
      </c>
      <c r="F97" s="62">
        <v>4826</v>
      </c>
      <c r="G97" s="64">
        <f t="shared" si="37"/>
        <v>99.7107438016529</v>
      </c>
      <c r="H97" s="63"/>
      <c r="I97" s="64"/>
      <c r="J97" s="62">
        <f t="shared" si="39"/>
        <v>4826</v>
      </c>
      <c r="K97" s="56">
        <f t="shared" si="40"/>
        <v>99.7107438016529</v>
      </c>
      <c r="L97" s="62">
        <f t="shared" si="41"/>
        <v>4826</v>
      </c>
      <c r="M97" s="65">
        <f t="shared" si="31"/>
        <v>4826</v>
      </c>
      <c r="N97" s="65"/>
      <c r="O97" s="48">
        <f t="shared" si="42"/>
        <v>100</v>
      </c>
      <c r="P97" s="66">
        <v>14</v>
      </c>
      <c r="Q97" s="16"/>
    </row>
    <row r="98" spans="1:17" ht="13.5" customHeight="1">
      <c r="A98" s="60">
        <v>8</v>
      </c>
      <c r="B98" s="61" t="s">
        <v>79</v>
      </c>
      <c r="C98" s="62">
        <v>5445</v>
      </c>
      <c r="D98" s="62"/>
      <c r="E98" s="62">
        <f t="shared" si="38"/>
        <v>5445</v>
      </c>
      <c r="F98" s="62">
        <v>5392</v>
      </c>
      <c r="G98" s="64">
        <f t="shared" si="37"/>
        <v>99.02662993572085</v>
      </c>
      <c r="H98" s="63"/>
      <c r="I98" s="64"/>
      <c r="J98" s="62">
        <f t="shared" si="39"/>
        <v>5392</v>
      </c>
      <c r="K98" s="56">
        <f t="shared" si="40"/>
        <v>99.02662993572085</v>
      </c>
      <c r="L98" s="62">
        <f t="shared" si="41"/>
        <v>5392</v>
      </c>
      <c r="M98" s="65">
        <f t="shared" si="31"/>
        <v>5392</v>
      </c>
      <c r="N98" s="65"/>
      <c r="O98" s="48">
        <f t="shared" si="42"/>
        <v>99.52249770431588</v>
      </c>
      <c r="P98" s="66">
        <v>27</v>
      </c>
      <c r="Q98" s="16"/>
    </row>
    <row r="99" spans="1:17" ht="13.5" customHeight="1">
      <c r="A99" s="60">
        <v>9</v>
      </c>
      <c r="B99" s="61" t="s">
        <v>80</v>
      </c>
      <c r="C99" s="62">
        <v>2728</v>
      </c>
      <c r="D99" s="62"/>
      <c r="E99" s="62">
        <f t="shared" si="38"/>
        <v>2728</v>
      </c>
      <c r="F99" s="62">
        <v>2720</v>
      </c>
      <c r="G99" s="64">
        <f t="shared" si="37"/>
        <v>99.70674486803519</v>
      </c>
      <c r="H99" s="63"/>
      <c r="I99" s="64"/>
      <c r="J99" s="62">
        <f t="shared" si="39"/>
        <v>2720</v>
      </c>
      <c r="K99" s="56">
        <f t="shared" si="40"/>
        <v>99.70674486803519</v>
      </c>
      <c r="L99" s="62">
        <f t="shared" si="41"/>
        <v>2720</v>
      </c>
      <c r="M99" s="65">
        <f t="shared" si="31"/>
        <v>2720</v>
      </c>
      <c r="N99" s="65"/>
      <c r="O99" s="48">
        <f t="shared" si="42"/>
        <v>100</v>
      </c>
      <c r="P99" s="66">
        <v>8</v>
      </c>
      <c r="Q99" s="16"/>
    </row>
    <row r="100" spans="1:17" ht="13.5" customHeight="1">
      <c r="A100" s="60">
        <v>10</v>
      </c>
      <c r="B100" s="61" t="s">
        <v>81</v>
      </c>
      <c r="C100" s="62">
        <v>3119</v>
      </c>
      <c r="D100" s="62"/>
      <c r="E100" s="62">
        <f t="shared" si="38"/>
        <v>3119</v>
      </c>
      <c r="F100" s="62">
        <v>3087</v>
      </c>
      <c r="G100" s="64">
        <f t="shared" si="37"/>
        <v>98.9740301378647</v>
      </c>
      <c r="H100" s="63"/>
      <c r="I100" s="64"/>
      <c r="J100" s="62">
        <f t="shared" si="39"/>
        <v>3087</v>
      </c>
      <c r="K100" s="56">
        <f t="shared" si="40"/>
        <v>98.9740301378647</v>
      </c>
      <c r="L100" s="62">
        <f t="shared" si="41"/>
        <v>3087</v>
      </c>
      <c r="M100" s="65">
        <f t="shared" si="31"/>
        <v>3087</v>
      </c>
      <c r="N100" s="65"/>
      <c r="O100" s="48">
        <f t="shared" si="42"/>
        <v>99.74350753446618</v>
      </c>
      <c r="P100" s="66">
        <v>24</v>
      </c>
      <c r="Q100" s="16"/>
    </row>
    <row r="101" spans="1:17" ht="13.5" customHeight="1">
      <c r="A101" s="60">
        <v>11</v>
      </c>
      <c r="B101" s="61" t="s">
        <v>82</v>
      </c>
      <c r="C101" s="62">
        <v>3247</v>
      </c>
      <c r="D101" s="62"/>
      <c r="E101" s="62">
        <f t="shared" si="38"/>
        <v>3247</v>
      </c>
      <c r="F101" s="62">
        <v>3219</v>
      </c>
      <c r="G101" s="64">
        <f t="shared" si="37"/>
        <v>99.13766553741915</v>
      </c>
      <c r="H101" s="63"/>
      <c r="I101" s="64"/>
      <c r="J101" s="62">
        <f t="shared" si="39"/>
        <v>3219</v>
      </c>
      <c r="K101" s="56">
        <f t="shared" si="40"/>
        <v>99.13766553741915</v>
      </c>
      <c r="L101" s="62">
        <f t="shared" si="41"/>
        <v>3219</v>
      </c>
      <c r="M101" s="65">
        <f t="shared" si="31"/>
        <v>3219</v>
      </c>
      <c r="N101" s="65"/>
      <c r="O101" s="48">
        <f t="shared" si="42"/>
        <v>99.7536187249769</v>
      </c>
      <c r="P101" s="66">
        <v>20</v>
      </c>
      <c r="Q101" s="16"/>
    </row>
    <row r="102" spans="1:17" ht="13.5" customHeight="1">
      <c r="A102" s="60">
        <v>12</v>
      </c>
      <c r="B102" s="61" t="s">
        <v>83</v>
      </c>
      <c r="C102" s="62">
        <v>1746</v>
      </c>
      <c r="D102" s="62"/>
      <c r="E102" s="62">
        <f t="shared" si="38"/>
        <v>1746</v>
      </c>
      <c r="F102" s="62">
        <v>1745</v>
      </c>
      <c r="G102" s="64">
        <f t="shared" si="37"/>
        <v>99.94272623138602</v>
      </c>
      <c r="H102" s="63"/>
      <c r="I102" s="64"/>
      <c r="J102" s="62">
        <f t="shared" si="39"/>
        <v>1745</v>
      </c>
      <c r="K102" s="56">
        <f t="shared" si="40"/>
        <v>99.94272623138602</v>
      </c>
      <c r="L102" s="62">
        <f t="shared" si="41"/>
        <v>1745</v>
      </c>
      <c r="M102" s="65">
        <f t="shared" si="31"/>
        <v>1745</v>
      </c>
      <c r="N102" s="65"/>
      <c r="O102" s="48">
        <f t="shared" si="42"/>
        <v>100</v>
      </c>
      <c r="P102" s="66">
        <v>1</v>
      </c>
      <c r="Q102" s="16"/>
    </row>
    <row r="103" spans="1:17" ht="13.5" customHeight="1">
      <c r="A103" s="60">
        <v>13</v>
      </c>
      <c r="B103" s="61" t="s">
        <v>84</v>
      </c>
      <c r="C103" s="62">
        <v>2423</v>
      </c>
      <c r="D103" s="62"/>
      <c r="E103" s="62">
        <f t="shared" si="38"/>
        <v>2423</v>
      </c>
      <c r="F103" s="62">
        <v>2414</v>
      </c>
      <c r="G103" s="64">
        <f t="shared" si="37"/>
        <v>99.62855963681386</v>
      </c>
      <c r="H103" s="63"/>
      <c r="I103" s="64"/>
      <c r="J103" s="62">
        <f t="shared" si="39"/>
        <v>2414</v>
      </c>
      <c r="K103" s="56">
        <f t="shared" si="40"/>
        <v>99.62855963681386</v>
      </c>
      <c r="L103" s="62">
        <f t="shared" si="41"/>
        <v>2414</v>
      </c>
      <c r="M103" s="65">
        <f t="shared" si="31"/>
        <v>2414</v>
      </c>
      <c r="N103" s="65"/>
      <c r="O103" s="48">
        <f t="shared" si="42"/>
        <v>99.95872884853488</v>
      </c>
      <c r="P103" s="66">
        <v>8</v>
      </c>
      <c r="Q103" s="16"/>
    </row>
    <row r="104" spans="1:17" ht="13.5" customHeight="1">
      <c r="A104" s="60">
        <v>14</v>
      </c>
      <c r="B104" s="61" t="s">
        <v>85</v>
      </c>
      <c r="C104" s="62">
        <v>1618</v>
      </c>
      <c r="D104" s="62"/>
      <c r="E104" s="62">
        <f t="shared" si="38"/>
        <v>1618</v>
      </c>
      <c r="F104" s="62">
        <v>1603</v>
      </c>
      <c r="G104" s="64">
        <f t="shared" si="37"/>
        <v>99.07292954264524</v>
      </c>
      <c r="H104" s="63"/>
      <c r="I104" s="64"/>
      <c r="J104" s="62">
        <f t="shared" si="39"/>
        <v>1603</v>
      </c>
      <c r="K104" s="56">
        <f t="shared" si="40"/>
        <v>99.07292954264524</v>
      </c>
      <c r="L104" s="62">
        <f t="shared" si="41"/>
        <v>1603</v>
      </c>
      <c r="M104" s="65">
        <f t="shared" si="31"/>
        <v>1603</v>
      </c>
      <c r="N104" s="65"/>
      <c r="O104" s="48">
        <f t="shared" si="42"/>
        <v>99.93819530284301</v>
      </c>
      <c r="P104" s="66">
        <v>14</v>
      </c>
      <c r="Q104" s="16"/>
    </row>
    <row r="105" spans="1:16" ht="13.5" customHeight="1">
      <c r="A105" s="53">
        <v>8</v>
      </c>
      <c r="B105" s="54" t="s">
        <v>86</v>
      </c>
      <c r="C105" s="55"/>
      <c r="D105" s="55"/>
      <c r="E105" s="55"/>
      <c r="F105" s="55"/>
      <c r="G105" s="56"/>
      <c r="H105" s="57"/>
      <c r="I105" s="56"/>
      <c r="J105" s="57"/>
      <c r="K105" s="56"/>
      <c r="L105" s="58"/>
      <c r="M105" s="58"/>
      <c r="N105" s="59"/>
      <c r="O105" s="46"/>
      <c r="P105" s="49"/>
    </row>
    <row r="106" spans="1:17" ht="13.5" customHeight="1">
      <c r="A106" s="60">
        <v>1</v>
      </c>
      <c r="B106" s="61" t="s">
        <v>87</v>
      </c>
      <c r="C106" s="62">
        <v>1505</v>
      </c>
      <c r="D106" s="62"/>
      <c r="E106" s="62">
        <f aca="true" t="shared" si="43" ref="E106:E122">C106</f>
        <v>1505</v>
      </c>
      <c r="F106" s="62">
        <v>1484</v>
      </c>
      <c r="G106" s="64">
        <f t="shared" si="37"/>
        <v>98.6046511627907</v>
      </c>
      <c r="H106" s="63"/>
      <c r="I106" s="64"/>
      <c r="J106" s="62">
        <f aca="true" t="shared" si="44" ref="J106:J122">F106</f>
        <v>1484</v>
      </c>
      <c r="K106" s="56">
        <f aca="true" t="shared" si="45" ref="K106:K122">J106/C106*100</f>
        <v>98.6046511627907</v>
      </c>
      <c r="L106" s="62">
        <f aca="true" t="shared" si="46" ref="L106:L122">J106</f>
        <v>1484</v>
      </c>
      <c r="M106" s="65">
        <f t="shared" si="31"/>
        <v>1484</v>
      </c>
      <c r="N106" s="65"/>
      <c r="O106" s="48">
        <f t="shared" si="42"/>
        <v>99.93355481727575</v>
      </c>
      <c r="P106" s="66">
        <v>20</v>
      </c>
      <c r="Q106" s="16"/>
    </row>
    <row r="107" spans="1:17" ht="13.5" customHeight="1">
      <c r="A107" s="60">
        <v>2</v>
      </c>
      <c r="B107" s="61" t="s">
        <v>88</v>
      </c>
      <c r="C107" s="62">
        <v>1365</v>
      </c>
      <c r="D107" s="62"/>
      <c r="E107" s="62">
        <f t="shared" si="43"/>
        <v>1365</v>
      </c>
      <c r="F107" s="62">
        <v>1365</v>
      </c>
      <c r="G107" s="64">
        <f t="shared" si="37"/>
        <v>100</v>
      </c>
      <c r="H107" s="63"/>
      <c r="I107" s="64"/>
      <c r="J107" s="62">
        <f t="shared" si="44"/>
        <v>1365</v>
      </c>
      <c r="K107" s="64">
        <f t="shared" si="45"/>
        <v>100</v>
      </c>
      <c r="L107" s="62">
        <f t="shared" si="46"/>
        <v>1365</v>
      </c>
      <c r="M107" s="65">
        <f t="shared" si="31"/>
        <v>1365</v>
      </c>
      <c r="N107" s="65"/>
      <c r="O107" s="45">
        <f>K107</f>
        <v>100</v>
      </c>
      <c r="P107" s="66"/>
      <c r="Q107" s="16"/>
    </row>
    <row r="108" spans="1:17" ht="13.5" customHeight="1">
      <c r="A108" s="60">
        <v>3</v>
      </c>
      <c r="B108" s="61" t="s">
        <v>89</v>
      </c>
      <c r="C108" s="62">
        <v>1111</v>
      </c>
      <c r="D108" s="62"/>
      <c r="E108" s="62">
        <f t="shared" si="43"/>
        <v>1111</v>
      </c>
      <c r="F108" s="62">
        <v>1005</v>
      </c>
      <c r="G108" s="64">
        <f t="shared" si="37"/>
        <v>90.45904590459047</v>
      </c>
      <c r="H108" s="63"/>
      <c r="I108" s="64"/>
      <c r="J108" s="62">
        <f t="shared" si="44"/>
        <v>1005</v>
      </c>
      <c r="K108" s="56">
        <f t="shared" si="45"/>
        <v>90.45904590459047</v>
      </c>
      <c r="L108" s="62">
        <f t="shared" si="46"/>
        <v>1005</v>
      </c>
      <c r="M108" s="65">
        <f t="shared" si="31"/>
        <v>1005</v>
      </c>
      <c r="N108" s="65"/>
      <c r="O108" s="48">
        <f t="shared" si="42"/>
        <v>90.999099909991</v>
      </c>
      <c r="P108" s="66">
        <v>6</v>
      </c>
      <c r="Q108" s="16"/>
    </row>
    <row r="109" spans="1:17" ht="13.5" customHeight="1">
      <c r="A109" s="60">
        <v>4</v>
      </c>
      <c r="B109" s="61" t="s">
        <v>90</v>
      </c>
      <c r="C109" s="62">
        <v>1162</v>
      </c>
      <c r="D109" s="62"/>
      <c r="E109" s="62">
        <f t="shared" si="43"/>
        <v>1162</v>
      </c>
      <c r="F109" s="62">
        <v>1066</v>
      </c>
      <c r="G109" s="64">
        <f t="shared" si="37"/>
        <v>91.73838209982789</v>
      </c>
      <c r="H109" s="63"/>
      <c r="I109" s="64"/>
      <c r="J109" s="62">
        <f t="shared" si="44"/>
        <v>1066</v>
      </c>
      <c r="K109" s="56">
        <f t="shared" si="45"/>
        <v>91.73838209982789</v>
      </c>
      <c r="L109" s="62">
        <f t="shared" si="46"/>
        <v>1066</v>
      </c>
      <c r="M109" s="65">
        <f t="shared" si="31"/>
        <v>1066</v>
      </c>
      <c r="N109" s="65"/>
      <c r="O109" s="48">
        <f t="shared" si="42"/>
        <v>93.63166953528399</v>
      </c>
      <c r="P109" s="66">
        <v>22</v>
      </c>
      <c r="Q109" s="16"/>
    </row>
    <row r="110" spans="1:17" ht="13.5" customHeight="1">
      <c r="A110" s="60">
        <v>5</v>
      </c>
      <c r="B110" s="61" t="s">
        <v>91</v>
      </c>
      <c r="C110" s="62">
        <v>1876</v>
      </c>
      <c r="D110" s="62"/>
      <c r="E110" s="62">
        <f t="shared" si="43"/>
        <v>1876</v>
      </c>
      <c r="F110" s="62">
        <v>1525</v>
      </c>
      <c r="G110" s="64">
        <f t="shared" si="37"/>
        <v>81.28997867803838</v>
      </c>
      <c r="H110" s="63"/>
      <c r="I110" s="64"/>
      <c r="J110" s="62">
        <f t="shared" si="44"/>
        <v>1525</v>
      </c>
      <c r="K110" s="56">
        <f t="shared" si="45"/>
        <v>81.28997867803838</v>
      </c>
      <c r="L110" s="62">
        <f t="shared" si="46"/>
        <v>1525</v>
      </c>
      <c r="M110" s="65">
        <f t="shared" si="31"/>
        <v>1525</v>
      </c>
      <c r="N110" s="65"/>
      <c r="O110" s="48">
        <f t="shared" si="42"/>
        <v>87.95309168443497</v>
      </c>
      <c r="P110" s="66">
        <v>125</v>
      </c>
      <c r="Q110" s="16"/>
    </row>
    <row r="111" spans="1:17" ht="13.5" customHeight="1">
      <c r="A111" s="60">
        <v>6</v>
      </c>
      <c r="B111" s="61" t="s">
        <v>92</v>
      </c>
      <c r="C111" s="62">
        <v>1679</v>
      </c>
      <c r="D111" s="62"/>
      <c r="E111" s="62">
        <f t="shared" si="43"/>
        <v>1679</v>
      </c>
      <c r="F111" s="62">
        <v>1672</v>
      </c>
      <c r="G111" s="64">
        <f t="shared" si="37"/>
        <v>99.5830851697439</v>
      </c>
      <c r="H111" s="63"/>
      <c r="I111" s="64"/>
      <c r="J111" s="62">
        <f t="shared" si="44"/>
        <v>1672</v>
      </c>
      <c r="K111" s="56">
        <f t="shared" si="45"/>
        <v>99.5830851697439</v>
      </c>
      <c r="L111" s="62">
        <f t="shared" si="46"/>
        <v>1672</v>
      </c>
      <c r="M111" s="65">
        <f t="shared" si="31"/>
        <v>1672</v>
      </c>
      <c r="N111" s="65"/>
      <c r="O111" s="48">
        <f t="shared" si="42"/>
        <v>100</v>
      </c>
      <c r="P111" s="66">
        <v>7</v>
      </c>
      <c r="Q111" s="16"/>
    </row>
    <row r="112" spans="1:17" ht="13.5" customHeight="1">
      <c r="A112" s="60">
        <v>7</v>
      </c>
      <c r="B112" s="61" t="s">
        <v>93</v>
      </c>
      <c r="C112" s="62">
        <v>2234</v>
      </c>
      <c r="D112" s="62"/>
      <c r="E112" s="62">
        <f t="shared" si="43"/>
        <v>2234</v>
      </c>
      <c r="F112" s="62">
        <v>2232</v>
      </c>
      <c r="G112" s="64">
        <f t="shared" si="37"/>
        <v>99.91047448522829</v>
      </c>
      <c r="H112" s="63"/>
      <c r="I112" s="64"/>
      <c r="J112" s="62">
        <f t="shared" si="44"/>
        <v>2232</v>
      </c>
      <c r="K112" s="64">
        <f t="shared" si="45"/>
        <v>99.91047448522829</v>
      </c>
      <c r="L112" s="62">
        <f t="shared" si="46"/>
        <v>2232</v>
      </c>
      <c r="M112" s="65">
        <f t="shared" si="31"/>
        <v>2232</v>
      </c>
      <c r="N112" s="65"/>
      <c r="O112" s="45">
        <f>K112</f>
        <v>99.91047448522829</v>
      </c>
      <c r="P112" s="66"/>
      <c r="Q112" s="16"/>
    </row>
    <row r="113" spans="1:17" ht="13.5" customHeight="1">
      <c r="A113" s="60">
        <v>8</v>
      </c>
      <c r="B113" s="61" t="s">
        <v>94</v>
      </c>
      <c r="C113" s="62">
        <v>2211</v>
      </c>
      <c r="D113" s="62"/>
      <c r="E113" s="62">
        <f t="shared" si="43"/>
        <v>2211</v>
      </c>
      <c r="F113" s="62">
        <v>2158</v>
      </c>
      <c r="G113" s="64">
        <f t="shared" si="37"/>
        <v>97.60289461781998</v>
      </c>
      <c r="H113" s="63"/>
      <c r="I113" s="64"/>
      <c r="J113" s="62">
        <f t="shared" si="44"/>
        <v>2158</v>
      </c>
      <c r="K113" s="56">
        <f t="shared" si="45"/>
        <v>97.60289461781998</v>
      </c>
      <c r="L113" s="62">
        <f t="shared" si="46"/>
        <v>2158</v>
      </c>
      <c r="M113" s="65">
        <f t="shared" si="31"/>
        <v>2158</v>
      </c>
      <c r="N113" s="65"/>
      <c r="O113" s="48">
        <f t="shared" si="42"/>
        <v>97.82903663500679</v>
      </c>
      <c r="P113" s="66">
        <v>5</v>
      </c>
      <c r="Q113" s="16"/>
    </row>
    <row r="114" spans="1:17" ht="13.5" customHeight="1">
      <c r="A114" s="60">
        <v>9</v>
      </c>
      <c r="B114" s="61" t="s">
        <v>95</v>
      </c>
      <c r="C114" s="62">
        <v>1361</v>
      </c>
      <c r="D114" s="62"/>
      <c r="E114" s="62">
        <f t="shared" si="43"/>
        <v>1361</v>
      </c>
      <c r="F114" s="62">
        <v>1346</v>
      </c>
      <c r="G114" s="64">
        <f t="shared" si="37"/>
        <v>98.89786921381337</v>
      </c>
      <c r="H114" s="63"/>
      <c r="I114" s="64"/>
      <c r="J114" s="62">
        <f t="shared" si="44"/>
        <v>1346</v>
      </c>
      <c r="K114" s="64">
        <f t="shared" si="45"/>
        <v>98.89786921381337</v>
      </c>
      <c r="L114" s="62">
        <f t="shared" si="46"/>
        <v>1346</v>
      </c>
      <c r="M114" s="65">
        <f t="shared" si="31"/>
        <v>1346</v>
      </c>
      <c r="N114" s="65"/>
      <c r="O114" s="45">
        <f>K114</f>
        <v>98.89786921381337</v>
      </c>
      <c r="P114" s="66"/>
      <c r="Q114" s="16"/>
    </row>
    <row r="115" spans="1:17" ht="13.5" customHeight="1">
      <c r="A115" s="60">
        <v>10</v>
      </c>
      <c r="B115" s="61" t="s">
        <v>96</v>
      </c>
      <c r="C115" s="62">
        <v>1744</v>
      </c>
      <c r="D115" s="62"/>
      <c r="E115" s="62">
        <f t="shared" si="43"/>
        <v>1744</v>
      </c>
      <c r="F115" s="62">
        <v>1685</v>
      </c>
      <c r="G115" s="64">
        <f t="shared" si="37"/>
        <v>96.61697247706422</v>
      </c>
      <c r="H115" s="63"/>
      <c r="I115" s="64"/>
      <c r="J115" s="62">
        <f t="shared" si="44"/>
        <v>1685</v>
      </c>
      <c r="K115" s="56">
        <f t="shared" si="45"/>
        <v>96.61697247706422</v>
      </c>
      <c r="L115" s="62">
        <f t="shared" si="46"/>
        <v>1685</v>
      </c>
      <c r="M115" s="65">
        <f t="shared" si="31"/>
        <v>1685</v>
      </c>
      <c r="N115" s="65"/>
      <c r="O115" s="48">
        <f t="shared" si="42"/>
        <v>97.7637614678899</v>
      </c>
      <c r="P115" s="66">
        <v>20</v>
      </c>
      <c r="Q115" s="16"/>
    </row>
    <row r="116" spans="1:17" ht="13.5" customHeight="1">
      <c r="A116" s="60">
        <v>11</v>
      </c>
      <c r="B116" s="61" t="s">
        <v>97</v>
      </c>
      <c r="C116" s="62">
        <v>2908</v>
      </c>
      <c r="D116" s="62"/>
      <c r="E116" s="62">
        <f t="shared" si="43"/>
        <v>2908</v>
      </c>
      <c r="F116" s="62">
        <v>2850</v>
      </c>
      <c r="G116" s="64">
        <f t="shared" si="37"/>
        <v>98.00550206327372</v>
      </c>
      <c r="H116" s="63"/>
      <c r="I116" s="64"/>
      <c r="J116" s="62">
        <f t="shared" si="44"/>
        <v>2850</v>
      </c>
      <c r="K116" s="56">
        <f t="shared" si="45"/>
        <v>98.00550206327372</v>
      </c>
      <c r="L116" s="62">
        <f t="shared" si="46"/>
        <v>2850</v>
      </c>
      <c r="M116" s="65">
        <f t="shared" si="31"/>
        <v>2850</v>
      </c>
      <c r="N116" s="65"/>
      <c r="O116" s="48">
        <f t="shared" si="42"/>
        <v>98.83081155433288</v>
      </c>
      <c r="P116" s="66">
        <v>24</v>
      </c>
      <c r="Q116" s="16"/>
    </row>
    <row r="117" spans="1:17" ht="13.5" customHeight="1">
      <c r="A117" s="60">
        <v>12</v>
      </c>
      <c r="B117" s="61" t="s">
        <v>98</v>
      </c>
      <c r="C117" s="62">
        <v>2014</v>
      </c>
      <c r="D117" s="62"/>
      <c r="E117" s="62">
        <f t="shared" si="43"/>
        <v>2014</v>
      </c>
      <c r="F117" s="62">
        <v>1832</v>
      </c>
      <c r="G117" s="64">
        <f t="shared" si="37"/>
        <v>90.96325719960278</v>
      </c>
      <c r="H117" s="63"/>
      <c r="I117" s="64"/>
      <c r="J117" s="62">
        <f t="shared" si="44"/>
        <v>1832</v>
      </c>
      <c r="K117" s="56">
        <f t="shared" si="45"/>
        <v>90.96325719960278</v>
      </c>
      <c r="L117" s="62">
        <f t="shared" si="46"/>
        <v>1832</v>
      </c>
      <c r="M117" s="65">
        <f t="shared" si="31"/>
        <v>1832</v>
      </c>
      <c r="N117" s="65"/>
      <c r="O117" s="48">
        <f t="shared" si="42"/>
        <v>95.08440913604767</v>
      </c>
      <c r="P117" s="66">
        <v>83</v>
      </c>
      <c r="Q117" s="16"/>
    </row>
    <row r="118" spans="1:17" ht="13.5" customHeight="1">
      <c r="A118" s="60">
        <v>13</v>
      </c>
      <c r="B118" s="61" t="s">
        <v>99</v>
      </c>
      <c r="C118" s="62">
        <v>3256</v>
      </c>
      <c r="D118" s="62"/>
      <c r="E118" s="62">
        <f t="shared" si="43"/>
        <v>3256</v>
      </c>
      <c r="F118" s="62">
        <v>3243</v>
      </c>
      <c r="G118" s="64">
        <f t="shared" si="37"/>
        <v>99.6007371007371</v>
      </c>
      <c r="H118" s="63"/>
      <c r="I118" s="64"/>
      <c r="J118" s="62">
        <f t="shared" si="44"/>
        <v>3243</v>
      </c>
      <c r="K118" s="56">
        <f t="shared" si="45"/>
        <v>99.6007371007371</v>
      </c>
      <c r="L118" s="62">
        <f t="shared" si="46"/>
        <v>3243</v>
      </c>
      <c r="M118" s="65">
        <f t="shared" si="31"/>
        <v>3243</v>
      </c>
      <c r="N118" s="65"/>
      <c r="O118" s="48">
        <f t="shared" si="42"/>
        <v>100</v>
      </c>
      <c r="P118" s="66">
        <v>13</v>
      </c>
      <c r="Q118" s="16"/>
    </row>
    <row r="119" spans="1:17" ht="13.5" customHeight="1">
      <c r="A119" s="60">
        <v>14</v>
      </c>
      <c r="B119" s="61" t="s">
        <v>100</v>
      </c>
      <c r="C119" s="62">
        <v>2639</v>
      </c>
      <c r="D119" s="62"/>
      <c r="E119" s="62">
        <f t="shared" si="43"/>
        <v>2639</v>
      </c>
      <c r="F119" s="62">
        <v>2635</v>
      </c>
      <c r="G119" s="64">
        <f t="shared" si="37"/>
        <v>99.84842743463433</v>
      </c>
      <c r="H119" s="63"/>
      <c r="I119" s="64"/>
      <c r="J119" s="62">
        <f t="shared" si="44"/>
        <v>2635</v>
      </c>
      <c r="K119" s="64">
        <f t="shared" si="45"/>
        <v>99.84842743463433</v>
      </c>
      <c r="L119" s="62">
        <f t="shared" si="46"/>
        <v>2635</v>
      </c>
      <c r="M119" s="65">
        <f t="shared" si="31"/>
        <v>2635</v>
      </c>
      <c r="N119" s="65"/>
      <c r="O119" s="45">
        <f>K119</f>
        <v>99.84842743463433</v>
      </c>
      <c r="P119" s="66"/>
      <c r="Q119" s="16"/>
    </row>
    <row r="120" spans="1:17" ht="13.5" customHeight="1">
      <c r="A120" s="60">
        <v>15</v>
      </c>
      <c r="B120" s="61" t="s">
        <v>101</v>
      </c>
      <c r="C120" s="62">
        <v>2901</v>
      </c>
      <c r="D120" s="62"/>
      <c r="E120" s="62">
        <f t="shared" si="43"/>
        <v>2901</v>
      </c>
      <c r="F120" s="62">
        <v>2876</v>
      </c>
      <c r="G120" s="64">
        <f t="shared" si="37"/>
        <v>99.13822819717339</v>
      </c>
      <c r="H120" s="63"/>
      <c r="I120" s="64"/>
      <c r="J120" s="62">
        <f t="shared" si="44"/>
        <v>2876</v>
      </c>
      <c r="K120" s="56">
        <f t="shared" si="45"/>
        <v>99.13822819717339</v>
      </c>
      <c r="L120" s="62">
        <f t="shared" si="46"/>
        <v>2876</v>
      </c>
      <c r="M120" s="65">
        <f t="shared" si="31"/>
        <v>2876</v>
      </c>
      <c r="N120" s="65"/>
      <c r="O120" s="48">
        <f t="shared" si="42"/>
        <v>99.41399517407791</v>
      </c>
      <c r="P120" s="66">
        <v>8</v>
      </c>
      <c r="Q120" s="16"/>
    </row>
    <row r="121" spans="1:17" ht="13.5" customHeight="1">
      <c r="A121" s="60">
        <v>16</v>
      </c>
      <c r="B121" s="61" t="s">
        <v>102</v>
      </c>
      <c r="C121" s="62">
        <v>1571</v>
      </c>
      <c r="D121" s="62"/>
      <c r="E121" s="62">
        <f t="shared" si="43"/>
        <v>1571</v>
      </c>
      <c r="F121" s="62">
        <v>1570</v>
      </c>
      <c r="G121" s="64">
        <f t="shared" si="37"/>
        <v>99.93634627625715</v>
      </c>
      <c r="H121" s="63"/>
      <c r="I121" s="64"/>
      <c r="J121" s="62">
        <f t="shared" si="44"/>
        <v>1570</v>
      </c>
      <c r="K121" s="56">
        <f t="shared" si="45"/>
        <v>99.93634627625715</v>
      </c>
      <c r="L121" s="62">
        <f t="shared" si="46"/>
        <v>1570</v>
      </c>
      <c r="M121" s="65">
        <f t="shared" si="31"/>
        <v>1570</v>
      </c>
      <c r="N121" s="65"/>
      <c r="O121" s="48">
        <f t="shared" si="42"/>
        <v>100</v>
      </c>
      <c r="P121" s="66">
        <v>1</v>
      </c>
      <c r="Q121" s="16"/>
    </row>
    <row r="122" spans="1:17" ht="13.5" customHeight="1">
      <c r="A122" s="60">
        <v>17</v>
      </c>
      <c r="B122" s="61" t="s">
        <v>103</v>
      </c>
      <c r="C122" s="62">
        <v>1983</v>
      </c>
      <c r="D122" s="62"/>
      <c r="E122" s="62">
        <f t="shared" si="43"/>
        <v>1983</v>
      </c>
      <c r="F122" s="62">
        <v>1970</v>
      </c>
      <c r="G122" s="64">
        <f t="shared" si="37"/>
        <v>99.34442763489663</v>
      </c>
      <c r="H122" s="63"/>
      <c r="I122" s="64"/>
      <c r="J122" s="62">
        <f t="shared" si="44"/>
        <v>1970</v>
      </c>
      <c r="K122" s="64">
        <f t="shared" si="45"/>
        <v>99.34442763489663</v>
      </c>
      <c r="L122" s="62">
        <f t="shared" si="46"/>
        <v>1970</v>
      </c>
      <c r="M122" s="65">
        <f t="shared" si="31"/>
        <v>1970</v>
      </c>
      <c r="N122" s="65"/>
      <c r="O122" s="45">
        <f>K122</f>
        <v>99.34442763489663</v>
      </c>
      <c r="P122" s="49"/>
      <c r="Q122" s="16"/>
    </row>
    <row r="123" spans="1:16" ht="13.5" customHeight="1">
      <c r="A123" s="53">
        <v>9</v>
      </c>
      <c r="B123" s="54" t="s">
        <v>104</v>
      </c>
      <c r="C123" s="55"/>
      <c r="D123" s="55"/>
      <c r="E123" s="55"/>
      <c r="F123" s="55"/>
      <c r="G123" s="56"/>
      <c r="H123" s="57"/>
      <c r="I123" s="56"/>
      <c r="J123" s="57"/>
      <c r="K123" s="56"/>
      <c r="L123" s="58"/>
      <c r="M123" s="58"/>
      <c r="N123" s="59"/>
      <c r="O123" s="46"/>
      <c r="P123" s="49"/>
    </row>
    <row r="124" spans="1:17" ht="13.5" customHeight="1">
      <c r="A124" s="60">
        <v>1</v>
      </c>
      <c r="B124" s="61" t="s">
        <v>95</v>
      </c>
      <c r="C124" s="62">
        <v>5866</v>
      </c>
      <c r="D124" s="62"/>
      <c r="E124" s="62">
        <f aca="true" t="shared" si="47" ref="E124:E136">C124</f>
        <v>5866</v>
      </c>
      <c r="F124" s="62">
        <v>4078</v>
      </c>
      <c r="G124" s="64">
        <f t="shared" si="37"/>
        <v>69.51926355267643</v>
      </c>
      <c r="H124" s="63"/>
      <c r="I124" s="64"/>
      <c r="J124" s="62">
        <f aca="true" t="shared" si="48" ref="J124:J136">F124</f>
        <v>4078</v>
      </c>
      <c r="K124" s="56">
        <f aca="true" t="shared" si="49" ref="K124:K136">J124/C124*100</f>
        <v>69.51926355267643</v>
      </c>
      <c r="L124" s="62">
        <f aca="true" t="shared" si="50" ref="L124:L136">J124</f>
        <v>4078</v>
      </c>
      <c r="M124" s="65">
        <f t="shared" si="31"/>
        <v>4078</v>
      </c>
      <c r="N124" s="65"/>
      <c r="O124" s="48">
        <f aca="true" t="shared" si="51" ref="O124:O130">((J124+P124)/C124)*100</f>
        <v>88.28844186839414</v>
      </c>
      <c r="P124" s="66">
        <v>1101</v>
      </c>
      <c r="Q124" s="16"/>
    </row>
    <row r="125" spans="1:17" ht="13.5" customHeight="1">
      <c r="A125" s="60">
        <v>2</v>
      </c>
      <c r="B125" s="61" t="s">
        <v>105</v>
      </c>
      <c r="C125" s="62">
        <v>2419</v>
      </c>
      <c r="D125" s="62"/>
      <c r="E125" s="62">
        <f t="shared" si="47"/>
        <v>2419</v>
      </c>
      <c r="F125" s="62">
        <v>1627</v>
      </c>
      <c r="G125" s="64">
        <f t="shared" si="37"/>
        <v>67.25919801570896</v>
      </c>
      <c r="H125" s="63"/>
      <c r="I125" s="64"/>
      <c r="J125" s="62">
        <f t="shared" si="48"/>
        <v>1627</v>
      </c>
      <c r="K125" s="56">
        <f t="shared" si="49"/>
        <v>67.25919801570896</v>
      </c>
      <c r="L125" s="62">
        <f t="shared" si="50"/>
        <v>1627</v>
      </c>
      <c r="M125" s="65">
        <f t="shared" si="31"/>
        <v>1627</v>
      </c>
      <c r="N125" s="65"/>
      <c r="O125" s="48">
        <f t="shared" si="51"/>
        <v>93.7577511368334</v>
      </c>
      <c r="P125" s="66">
        <v>641</v>
      </c>
      <c r="Q125" s="16"/>
    </row>
    <row r="126" spans="1:17" ht="13.5" customHeight="1">
      <c r="A126" s="60">
        <v>3</v>
      </c>
      <c r="B126" s="61" t="s">
        <v>106</v>
      </c>
      <c r="C126" s="62">
        <v>2967</v>
      </c>
      <c r="D126" s="62"/>
      <c r="E126" s="62">
        <f t="shared" si="47"/>
        <v>2967</v>
      </c>
      <c r="F126" s="62">
        <v>2909</v>
      </c>
      <c r="G126" s="64">
        <f t="shared" si="37"/>
        <v>98.04516346477924</v>
      </c>
      <c r="H126" s="63"/>
      <c r="I126" s="64"/>
      <c r="J126" s="62">
        <f t="shared" si="48"/>
        <v>2909</v>
      </c>
      <c r="K126" s="56">
        <f t="shared" si="49"/>
        <v>98.04516346477924</v>
      </c>
      <c r="L126" s="62">
        <f t="shared" si="50"/>
        <v>2909</v>
      </c>
      <c r="M126" s="65">
        <f t="shared" si="31"/>
        <v>2909</v>
      </c>
      <c r="N126" s="65"/>
      <c r="O126" s="48">
        <f t="shared" si="51"/>
        <v>99.2248062015504</v>
      </c>
      <c r="P126" s="66">
        <v>35</v>
      </c>
      <c r="Q126" s="16"/>
    </row>
    <row r="127" spans="1:17" ht="13.5" customHeight="1">
      <c r="A127" s="60">
        <v>4</v>
      </c>
      <c r="B127" s="61" t="s">
        <v>107</v>
      </c>
      <c r="C127" s="62">
        <v>2672</v>
      </c>
      <c r="D127" s="62"/>
      <c r="E127" s="62">
        <f t="shared" si="47"/>
        <v>2672</v>
      </c>
      <c r="F127" s="62">
        <v>2550</v>
      </c>
      <c r="G127" s="64">
        <f t="shared" si="37"/>
        <v>95.43413173652695</v>
      </c>
      <c r="H127" s="63"/>
      <c r="I127" s="64"/>
      <c r="J127" s="62">
        <f t="shared" si="48"/>
        <v>2550</v>
      </c>
      <c r="K127" s="56">
        <f t="shared" si="49"/>
        <v>95.43413173652695</v>
      </c>
      <c r="L127" s="62">
        <f t="shared" si="50"/>
        <v>2550</v>
      </c>
      <c r="M127" s="65">
        <f t="shared" si="31"/>
        <v>2550</v>
      </c>
      <c r="N127" s="65"/>
      <c r="O127" s="48">
        <f t="shared" si="51"/>
        <v>97.97904191616766</v>
      </c>
      <c r="P127" s="66">
        <v>68</v>
      </c>
      <c r="Q127" s="16"/>
    </row>
    <row r="128" spans="1:17" ht="13.5" customHeight="1">
      <c r="A128" s="60">
        <v>5</v>
      </c>
      <c r="B128" s="61" t="s">
        <v>108</v>
      </c>
      <c r="C128" s="62">
        <v>1595</v>
      </c>
      <c r="D128" s="62"/>
      <c r="E128" s="62">
        <f t="shared" si="47"/>
        <v>1595</v>
      </c>
      <c r="F128" s="62">
        <v>1541</v>
      </c>
      <c r="G128" s="64">
        <f t="shared" si="37"/>
        <v>96.61442006269593</v>
      </c>
      <c r="H128" s="63"/>
      <c r="I128" s="64"/>
      <c r="J128" s="62">
        <f t="shared" si="48"/>
        <v>1541</v>
      </c>
      <c r="K128" s="56">
        <f t="shared" si="49"/>
        <v>96.61442006269593</v>
      </c>
      <c r="L128" s="62">
        <f t="shared" si="50"/>
        <v>1541</v>
      </c>
      <c r="M128" s="65">
        <f t="shared" si="31"/>
        <v>1541</v>
      </c>
      <c r="N128" s="65"/>
      <c r="O128" s="48">
        <f t="shared" si="51"/>
        <v>99.12225705329153</v>
      </c>
      <c r="P128" s="66">
        <v>40</v>
      </c>
      <c r="Q128" s="16"/>
    </row>
    <row r="129" spans="1:17" ht="13.5" customHeight="1">
      <c r="A129" s="60">
        <v>6</v>
      </c>
      <c r="B129" s="61" t="s">
        <v>109</v>
      </c>
      <c r="C129" s="62">
        <v>1958</v>
      </c>
      <c r="D129" s="62"/>
      <c r="E129" s="62">
        <f t="shared" si="47"/>
        <v>1958</v>
      </c>
      <c r="F129" s="62">
        <v>1758</v>
      </c>
      <c r="G129" s="64">
        <f t="shared" si="37"/>
        <v>89.78549540347294</v>
      </c>
      <c r="H129" s="63"/>
      <c r="I129" s="64"/>
      <c r="J129" s="62">
        <f t="shared" si="48"/>
        <v>1758</v>
      </c>
      <c r="K129" s="56">
        <f t="shared" si="49"/>
        <v>89.78549540347294</v>
      </c>
      <c r="L129" s="62">
        <f t="shared" si="50"/>
        <v>1758</v>
      </c>
      <c r="M129" s="65">
        <f t="shared" si="31"/>
        <v>1758</v>
      </c>
      <c r="N129" s="65"/>
      <c r="O129" s="48">
        <f t="shared" si="51"/>
        <v>91.317671092952</v>
      </c>
      <c r="P129" s="66">
        <v>30</v>
      </c>
      <c r="Q129" s="16"/>
    </row>
    <row r="130" spans="1:17" ht="13.5" customHeight="1">
      <c r="A130" s="60">
        <v>7</v>
      </c>
      <c r="B130" s="61" t="s">
        <v>110</v>
      </c>
      <c r="C130" s="62">
        <v>3837</v>
      </c>
      <c r="D130" s="62"/>
      <c r="E130" s="62">
        <f t="shared" si="47"/>
        <v>3837</v>
      </c>
      <c r="F130" s="62">
        <v>3753</v>
      </c>
      <c r="G130" s="64">
        <f t="shared" si="37"/>
        <v>97.81078967943706</v>
      </c>
      <c r="H130" s="63"/>
      <c r="I130" s="64"/>
      <c r="J130" s="62">
        <f t="shared" si="48"/>
        <v>3753</v>
      </c>
      <c r="K130" s="56">
        <f t="shared" si="49"/>
        <v>97.81078967943706</v>
      </c>
      <c r="L130" s="62">
        <f t="shared" si="50"/>
        <v>3753</v>
      </c>
      <c r="M130" s="65">
        <f t="shared" si="31"/>
        <v>3753</v>
      </c>
      <c r="N130" s="65"/>
      <c r="O130" s="48">
        <f t="shared" si="51"/>
        <v>100</v>
      </c>
      <c r="P130" s="66">
        <v>84</v>
      </c>
      <c r="Q130" s="16"/>
    </row>
    <row r="131" spans="1:17" ht="13.5" customHeight="1">
      <c r="A131" s="60">
        <v>8</v>
      </c>
      <c r="B131" s="61" t="s">
        <v>111</v>
      </c>
      <c r="C131" s="62">
        <v>4309</v>
      </c>
      <c r="D131" s="62"/>
      <c r="E131" s="62">
        <f t="shared" si="47"/>
        <v>4309</v>
      </c>
      <c r="F131" s="62">
        <v>4175</v>
      </c>
      <c r="G131" s="64">
        <f t="shared" si="37"/>
        <v>96.89022975168253</v>
      </c>
      <c r="H131" s="63"/>
      <c r="I131" s="64"/>
      <c r="J131" s="62">
        <f t="shared" si="48"/>
        <v>4175</v>
      </c>
      <c r="K131" s="64">
        <f t="shared" si="49"/>
        <v>96.89022975168253</v>
      </c>
      <c r="L131" s="62">
        <f t="shared" si="50"/>
        <v>4175</v>
      </c>
      <c r="M131" s="65">
        <f t="shared" si="31"/>
        <v>4175</v>
      </c>
      <c r="N131" s="65"/>
      <c r="O131" s="45">
        <f>K131</f>
        <v>96.89022975168253</v>
      </c>
      <c r="P131" s="66"/>
      <c r="Q131" s="16"/>
    </row>
    <row r="132" spans="1:17" ht="13.5" customHeight="1">
      <c r="A132" s="60">
        <v>9</v>
      </c>
      <c r="B132" s="61" t="s">
        <v>112</v>
      </c>
      <c r="C132" s="62">
        <v>4200</v>
      </c>
      <c r="D132" s="62"/>
      <c r="E132" s="62">
        <f t="shared" si="47"/>
        <v>4200</v>
      </c>
      <c r="F132" s="62">
        <v>4026</v>
      </c>
      <c r="G132" s="64">
        <f t="shared" si="37"/>
        <v>95.85714285714285</v>
      </c>
      <c r="H132" s="63"/>
      <c r="I132" s="64"/>
      <c r="J132" s="62">
        <f t="shared" si="48"/>
        <v>4026</v>
      </c>
      <c r="K132" s="56">
        <f t="shared" si="49"/>
        <v>95.85714285714285</v>
      </c>
      <c r="L132" s="62">
        <f t="shared" si="50"/>
        <v>4026</v>
      </c>
      <c r="M132" s="65">
        <f t="shared" si="31"/>
        <v>4026</v>
      </c>
      <c r="N132" s="65"/>
      <c r="O132" s="48">
        <f aca="true" t="shared" si="52" ref="O132:O165">((J132+P132)/C132)*100</f>
        <v>98.11904761904762</v>
      </c>
      <c r="P132" s="66">
        <v>95</v>
      </c>
      <c r="Q132" s="16"/>
    </row>
    <row r="133" spans="1:17" ht="13.5" customHeight="1">
      <c r="A133" s="60">
        <v>10</v>
      </c>
      <c r="B133" s="61" t="s">
        <v>113</v>
      </c>
      <c r="C133" s="62">
        <v>3203</v>
      </c>
      <c r="D133" s="62"/>
      <c r="E133" s="62">
        <f t="shared" si="47"/>
        <v>3203</v>
      </c>
      <c r="F133" s="62">
        <v>3171</v>
      </c>
      <c r="G133" s="64">
        <f t="shared" si="37"/>
        <v>99.00093662191696</v>
      </c>
      <c r="H133" s="63"/>
      <c r="I133" s="64"/>
      <c r="J133" s="62">
        <f t="shared" si="48"/>
        <v>3171</v>
      </c>
      <c r="K133" s="56">
        <f t="shared" si="49"/>
        <v>99.00093662191696</v>
      </c>
      <c r="L133" s="62">
        <f t="shared" si="50"/>
        <v>3171</v>
      </c>
      <c r="M133" s="65">
        <f t="shared" si="31"/>
        <v>3171</v>
      </c>
      <c r="N133" s="65"/>
      <c r="O133" s="48">
        <f t="shared" si="52"/>
        <v>99.62535123321886</v>
      </c>
      <c r="P133" s="66">
        <v>20</v>
      </c>
      <c r="Q133" s="16"/>
    </row>
    <row r="134" spans="1:17" ht="13.5" customHeight="1">
      <c r="A134" s="60">
        <v>11</v>
      </c>
      <c r="B134" s="61" t="s">
        <v>114</v>
      </c>
      <c r="C134" s="62">
        <v>2475</v>
      </c>
      <c r="D134" s="62"/>
      <c r="E134" s="62">
        <f t="shared" si="47"/>
        <v>2475</v>
      </c>
      <c r="F134" s="62">
        <v>2436</v>
      </c>
      <c r="G134" s="64">
        <f t="shared" si="37"/>
        <v>98.42424242424242</v>
      </c>
      <c r="H134" s="63"/>
      <c r="I134" s="64"/>
      <c r="J134" s="62">
        <f t="shared" si="48"/>
        <v>2436</v>
      </c>
      <c r="K134" s="56">
        <f t="shared" si="49"/>
        <v>98.42424242424242</v>
      </c>
      <c r="L134" s="62">
        <f t="shared" si="50"/>
        <v>2436</v>
      </c>
      <c r="M134" s="65">
        <f t="shared" si="31"/>
        <v>2436</v>
      </c>
      <c r="N134" s="65"/>
      <c r="O134" s="48">
        <f t="shared" si="52"/>
        <v>99.07070707070707</v>
      </c>
      <c r="P134" s="66">
        <v>16</v>
      </c>
      <c r="Q134" s="16"/>
    </row>
    <row r="135" spans="1:17" ht="13.5" customHeight="1">
      <c r="A135" s="60">
        <v>12</v>
      </c>
      <c r="B135" s="61" t="s">
        <v>115</v>
      </c>
      <c r="C135" s="62">
        <v>3037</v>
      </c>
      <c r="D135" s="62"/>
      <c r="E135" s="62">
        <f t="shared" si="47"/>
        <v>3037</v>
      </c>
      <c r="F135" s="62">
        <v>2950</v>
      </c>
      <c r="G135" s="64">
        <f t="shared" si="37"/>
        <v>97.13533091866974</v>
      </c>
      <c r="H135" s="63"/>
      <c r="I135" s="64"/>
      <c r="J135" s="62">
        <f t="shared" si="48"/>
        <v>2950</v>
      </c>
      <c r="K135" s="56">
        <f t="shared" si="49"/>
        <v>97.13533091866974</v>
      </c>
      <c r="L135" s="62">
        <f t="shared" si="50"/>
        <v>2950</v>
      </c>
      <c r="M135" s="65">
        <f t="shared" si="31"/>
        <v>2950</v>
      </c>
      <c r="N135" s="65"/>
      <c r="O135" s="48">
        <f t="shared" si="52"/>
        <v>98.58412907474481</v>
      </c>
      <c r="P135" s="66">
        <v>44</v>
      </c>
      <c r="Q135" s="16"/>
    </row>
    <row r="136" spans="1:17" ht="13.5" customHeight="1">
      <c r="A136" s="60">
        <v>13</v>
      </c>
      <c r="B136" s="61" t="s">
        <v>116</v>
      </c>
      <c r="C136" s="62">
        <v>2964</v>
      </c>
      <c r="D136" s="62"/>
      <c r="E136" s="62">
        <f t="shared" si="47"/>
        <v>2964</v>
      </c>
      <c r="F136" s="62">
        <v>2901</v>
      </c>
      <c r="G136" s="64">
        <f t="shared" si="37"/>
        <v>97.8744939271255</v>
      </c>
      <c r="H136" s="63"/>
      <c r="I136" s="64"/>
      <c r="J136" s="62">
        <f t="shared" si="48"/>
        <v>2901</v>
      </c>
      <c r="K136" s="56">
        <f t="shared" si="49"/>
        <v>97.8744939271255</v>
      </c>
      <c r="L136" s="62">
        <f t="shared" si="50"/>
        <v>2901</v>
      </c>
      <c r="M136" s="65">
        <f t="shared" si="31"/>
        <v>2901</v>
      </c>
      <c r="N136" s="65"/>
      <c r="O136" s="48">
        <f t="shared" si="52"/>
        <v>99.89878542510121</v>
      </c>
      <c r="P136" s="66">
        <v>60</v>
      </c>
      <c r="Q136" s="16"/>
    </row>
    <row r="137" spans="1:16" ht="13.5" customHeight="1">
      <c r="A137" s="53">
        <v>10</v>
      </c>
      <c r="B137" s="54" t="s">
        <v>126</v>
      </c>
      <c r="C137" s="55"/>
      <c r="D137" s="55"/>
      <c r="E137" s="55"/>
      <c r="F137" s="55"/>
      <c r="G137" s="56"/>
      <c r="H137" s="57"/>
      <c r="I137" s="56"/>
      <c r="J137" s="57"/>
      <c r="K137" s="56"/>
      <c r="L137" s="58"/>
      <c r="M137" s="58"/>
      <c r="N137" s="59"/>
      <c r="O137" s="46"/>
      <c r="P137" s="49"/>
    </row>
    <row r="138" spans="1:16" ht="13.5" customHeight="1">
      <c r="A138" s="60">
        <v>1</v>
      </c>
      <c r="B138" s="61" t="s">
        <v>127</v>
      </c>
      <c r="C138" s="62">
        <v>3978</v>
      </c>
      <c r="D138" s="62"/>
      <c r="E138" s="62">
        <f aca="true" t="shared" si="53" ref="E138:E151">C138</f>
        <v>3978</v>
      </c>
      <c r="F138" s="62">
        <v>3936</v>
      </c>
      <c r="G138" s="64">
        <f t="shared" si="37"/>
        <v>98.94419306184012</v>
      </c>
      <c r="H138" s="63"/>
      <c r="I138" s="64"/>
      <c r="J138" s="62">
        <f aca="true" t="shared" si="54" ref="J138:J151">F138</f>
        <v>3936</v>
      </c>
      <c r="K138" s="56">
        <f aca="true" t="shared" si="55" ref="K138:K151">J138/C138*100</f>
        <v>98.94419306184012</v>
      </c>
      <c r="L138" s="62">
        <f aca="true" t="shared" si="56" ref="L138:L151">J138</f>
        <v>3936</v>
      </c>
      <c r="M138" s="65">
        <f aca="true" t="shared" si="57" ref="M138:M151">L138</f>
        <v>3936</v>
      </c>
      <c r="N138" s="65"/>
      <c r="O138" s="48">
        <f t="shared" si="52"/>
        <v>99.52237305178483</v>
      </c>
      <c r="P138" s="66">
        <v>23</v>
      </c>
    </row>
    <row r="139" spans="1:16" ht="13.5" customHeight="1">
      <c r="A139" s="60">
        <v>2</v>
      </c>
      <c r="B139" s="61" t="s">
        <v>128</v>
      </c>
      <c r="C139" s="62">
        <v>1652</v>
      </c>
      <c r="D139" s="62"/>
      <c r="E139" s="62">
        <f t="shared" si="53"/>
        <v>1652</v>
      </c>
      <c r="F139" s="62">
        <v>1603</v>
      </c>
      <c r="G139" s="64">
        <f t="shared" si="37"/>
        <v>97.03389830508475</v>
      </c>
      <c r="H139" s="63"/>
      <c r="I139" s="64"/>
      <c r="J139" s="62">
        <f t="shared" si="54"/>
        <v>1603</v>
      </c>
      <c r="K139" s="56">
        <f t="shared" si="55"/>
        <v>97.03389830508475</v>
      </c>
      <c r="L139" s="62">
        <f t="shared" si="56"/>
        <v>1603</v>
      </c>
      <c r="M139" s="65">
        <f t="shared" si="57"/>
        <v>1603</v>
      </c>
      <c r="N139" s="65"/>
      <c r="O139" s="48">
        <f t="shared" si="52"/>
        <v>99.45520581113801</v>
      </c>
      <c r="P139" s="66">
        <v>40</v>
      </c>
    </row>
    <row r="140" spans="1:16" ht="13.5" customHeight="1">
      <c r="A140" s="60">
        <v>3</v>
      </c>
      <c r="B140" s="61" t="s">
        <v>129</v>
      </c>
      <c r="C140" s="62">
        <v>2092</v>
      </c>
      <c r="D140" s="62"/>
      <c r="E140" s="62">
        <f t="shared" si="53"/>
        <v>2092</v>
      </c>
      <c r="F140" s="62">
        <v>2010</v>
      </c>
      <c r="G140" s="64">
        <f t="shared" si="37"/>
        <v>96.08030592734225</v>
      </c>
      <c r="H140" s="63"/>
      <c r="I140" s="64"/>
      <c r="J140" s="62">
        <f t="shared" si="54"/>
        <v>2010</v>
      </c>
      <c r="K140" s="56">
        <f t="shared" si="55"/>
        <v>96.08030592734225</v>
      </c>
      <c r="L140" s="62">
        <f t="shared" si="56"/>
        <v>2010</v>
      </c>
      <c r="M140" s="65">
        <f t="shared" si="57"/>
        <v>2010</v>
      </c>
      <c r="N140" s="65"/>
      <c r="O140" s="48">
        <f t="shared" si="52"/>
        <v>99.52198852772467</v>
      </c>
      <c r="P140" s="66">
        <v>72</v>
      </c>
    </row>
    <row r="141" spans="1:16" ht="13.5" customHeight="1">
      <c r="A141" s="60">
        <v>4</v>
      </c>
      <c r="B141" s="61" t="s">
        <v>130</v>
      </c>
      <c r="C141" s="62">
        <v>1142</v>
      </c>
      <c r="D141" s="62"/>
      <c r="E141" s="62">
        <f t="shared" si="53"/>
        <v>1142</v>
      </c>
      <c r="F141" s="62">
        <v>1069</v>
      </c>
      <c r="G141" s="64">
        <f t="shared" si="37"/>
        <v>93.60770577933451</v>
      </c>
      <c r="H141" s="63"/>
      <c r="I141" s="64"/>
      <c r="J141" s="62">
        <f t="shared" si="54"/>
        <v>1069</v>
      </c>
      <c r="K141" s="56">
        <f t="shared" si="55"/>
        <v>93.60770577933451</v>
      </c>
      <c r="L141" s="62">
        <f t="shared" si="56"/>
        <v>1069</v>
      </c>
      <c r="M141" s="65">
        <f t="shared" si="57"/>
        <v>1069</v>
      </c>
      <c r="N141" s="65"/>
      <c r="O141" s="48">
        <f t="shared" si="52"/>
        <v>98.07355516637479</v>
      </c>
      <c r="P141" s="66">
        <v>51</v>
      </c>
    </row>
    <row r="142" spans="1:16" ht="13.5" customHeight="1">
      <c r="A142" s="60">
        <v>5</v>
      </c>
      <c r="B142" s="61" t="s">
        <v>131</v>
      </c>
      <c r="C142" s="62">
        <v>2397</v>
      </c>
      <c r="D142" s="62"/>
      <c r="E142" s="62">
        <f t="shared" si="53"/>
        <v>2397</v>
      </c>
      <c r="F142" s="62">
        <v>2346</v>
      </c>
      <c r="G142" s="64">
        <f t="shared" si="37"/>
        <v>97.87234042553192</v>
      </c>
      <c r="H142" s="63"/>
      <c r="I142" s="64"/>
      <c r="J142" s="62">
        <f t="shared" si="54"/>
        <v>2346</v>
      </c>
      <c r="K142" s="56">
        <f t="shared" si="55"/>
        <v>97.87234042553192</v>
      </c>
      <c r="L142" s="62">
        <f t="shared" si="56"/>
        <v>2346</v>
      </c>
      <c r="M142" s="65">
        <f t="shared" si="57"/>
        <v>2346</v>
      </c>
      <c r="N142" s="65"/>
      <c r="O142" s="48">
        <f t="shared" si="52"/>
        <v>99.87484355444305</v>
      </c>
      <c r="P142" s="66">
        <v>48</v>
      </c>
    </row>
    <row r="143" spans="1:16" ht="13.5" customHeight="1">
      <c r="A143" s="60">
        <v>6</v>
      </c>
      <c r="B143" s="61" t="s">
        <v>132</v>
      </c>
      <c r="C143" s="62">
        <v>1996</v>
      </c>
      <c r="D143" s="62"/>
      <c r="E143" s="62">
        <f t="shared" si="53"/>
        <v>1996</v>
      </c>
      <c r="F143" s="62">
        <v>1914</v>
      </c>
      <c r="G143" s="64">
        <f t="shared" si="37"/>
        <v>95.89178356713427</v>
      </c>
      <c r="H143" s="63"/>
      <c r="I143" s="64"/>
      <c r="J143" s="62">
        <f t="shared" si="54"/>
        <v>1914</v>
      </c>
      <c r="K143" s="56">
        <f t="shared" si="55"/>
        <v>95.89178356713427</v>
      </c>
      <c r="L143" s="62">
        <f t="shared" si="56"/>
        <v>1914</v>
      </c>
      <c r="M143" s="65">
        <f t="shared" si="57"/>
        <v>1914</v>
      </c>
      <c r="N143" s="65"/>
      <c r="O143" s="48">
        <f t="shared" si="52"/>
        <v>98.04609218436873</v>
      </c>
      <c r="P143" s="66">
        <v>43</v>
      </c>
    </row>
    <row r="144" spans="1:16" ht="13.5" customHeight="1">
      <c r="A144" s="60">
        <v>7</v>
      </c>
      <c r="B144" s="61" t="s">
        <v>133</v>
      </c>
      <c r="C144" s="62">
        <v>1781</v>
      </c>
      <c r="D144" s="62"/>
      <c r="E144" s="62">
        <f t="shared" si="53"/>
        <v>1781</v>
      </c>
      <c r="F144" s="62">
        <v>1729</v>
      </c>
      <c r="G144" s="64">
        <f t="shared" si="37"/>
        <v>97.08029197080292</v>
      </c>
      <c r="H144" s="63"/>
      <c r="I144" s="64"/>
      <c r="J144" s="62">
        <f t="shared" si="54"/>
        <v>1729</v>
      </c>
      <c r="K144" s="56">
        <f t="shared" si="55"/>
        <v>97.08029197080292</v>
      </c>
      <c r="L144" s="62">
        <f t="shared" si="56"/>
        <v>1729</v>
      </c>
      <c r="M144" s="65">
        <f t="shared" si="57"/>
        <v>1729</v>
      </c>
      <c r="N144" s="65"/>
      <c r="O144" s="48">
        <f t="shared" si="52"/>
        <v>99.04548006737788</v>
      </c>
      <c r="P144" s="66">
        <v>35</v>
      </c>
    </row>
    <row r="145" spans="1:16" ht="13.5" customHeight="1">
      <c r="A145" s="60">
        <v>8</v>
      </c>
      <c r="B145" s="61" t="s">
        <v>134</v>
      </c>
      <c r="C145" s="62">
        <v>3423</v>
      </c>
      <c r="D145" s="62"/>
      <c r="E145" s="62">
        <f t="shared" si="53"/>
        <v>3423</v>
      </c>
      <c r="F145" s="62">
        <v>3403</v>
      </c>
      <c r="G145" s="64">
        <f t="shared" si="37"/>
        <v>99.41571720712825</v>
      </c>
      <c r="H145" s="63"/>
      <c r="I145" s="64"/>
      <c r="J145" s="62">
        <f t="shared" si="54"/>
        <v>3403</v>
      </c>
      <c r="K145" s="56">
        <f t="shared" si="55"/>
        <v>99.41571720712825</v>
      </c>
      <c r="L145" s="62">
        <f t="shared" si="56"/>
        <v>3403</v>
      </c>
      <c r="M145" s="65">
        <f t="shared" si="57"/>
        <v>3403</v>
      </c>
      <c r="N145" s="65"/>
      <c r="O145" s="48">
        <f t="shared" si="52"/>
        <v>99.76628688285129</v>
      </c>
      <c r="P145" s="66">
        <v>12</v>
      </c>
    </row>
    <row r="146" spans="1:16" ht="13.5" customHeight="1">
      <c r="A146" s="60">
        <v>9</v>
      </c>
      <c r="B146" s="61" t="s">
        <v>135</v>
      </c>
      <c r="C146" s="62">
        <v>1566</v>
      </c>
      <c r="D146" s="62"/>
      <c r="E146" s="62">
        <f t="shared" si="53"/>
        <v>1566</v>
      </c>
      <c r="F146" s="62">
        <v>1519</v>
      </c>
      <c r="G146" s="64">
        <f t="shared" si="37"/>
        <v>96.99872286079183</v>
      </c>
      <c r="H146" s="63"/>
      <c r="I146" s="64"/>
      <c r="J146" s="62">
        <f t="shared" si="54"/>
        <v>1519</v>
      </c>
      <c r="K146" s="56">
        <f t="shared" si="55"/>
        <v>96.99872286079183</v>
      </c>
      <c r="L146" s="62">
        <f t="shared" si="56"/>
        <v>1519</v>
      </c>
      <c r="M146" s="65">
        <f t="shared" si="57"/>
        <v>1519</v>
      </c>
      <c r="N146" s="65"/>
      <c r="O146" s="48">
        <f t="shared" si="52"/>
        <v>99.23371647509579</v>
      </c>
      <c r="P146" s="66">
        <v>35</v>
      </c>
    </row>
    <row r="147" spans="1:16" ht="13.5" customHeight="1">
      <c r="A147" s="60">
        <v>10</v>
      </c>
      <c r="B147" s="61" t="s">
        <v>136</v>
      </c>
      <c r="C147" s="62">
        <v>3083</v>
      </c>
      <c r="D147" s="62"/>
      <c r="E147" s="62">
        <f t="shared" si="53"/>
        <v>3083</v>
      </c>
      <c r="F147" s="62">
        <v>2980</v>
      </c>
      <c r="G147" s="64">
        <f t="shared" si="37"/>
        <v>96.65909828089522</v>
      </c>
      <c r="H147" s="63"/>
      <c r="I147" s="64"/>
      <c r="J147" s="62">
        <f t="shared" si="54"/>
        <v>2980</v>
      </c>
      <c r="K147" s="56">
        <f t="shared" si="55"/>
        <v>96.65909828089522</v>
      </c>
      <c r="L147" s="62">
        <f t="shared" si="56"/>
        <v>2980</v>
      </c>
      <c r="M147" s="65">
        <f t="shared" si="57"/>
        <v>2980</v>
      </c>
      <c r="N147" s="65"/>
      <c r="O147" s="48">
        <f t="shared" si="52"/>
        <v>98.02140771975348</v>
      </c>
      <c r="P147" s="66">
        <v>42</v>
      </c>
    </row>
    <row r="148" spans="1:16" ht="13.5" customHeight="1">
      <c r="A148" s="60">
        <v>11</v>
      </c>
      <c r="B148" s="61" t="s">
        <v>137</v>
      </c>
      <c r="C148" s="62">
        <v>3139</v>
      </c>
      <c r="D148" s="62"/>
      <c r="E148" s="62">
        <f t="shared" si="53"/>
        <v>3139</v>
      </c>
      <c r="F148" s="62">
        <v>3085</v>
      </c>
      <c r="G148" s="64">
        <f t="shared" si="37"/>
        <v>98.27970691302963</v>
      </c>
      <c r="H148" s="63"/>
      <c r="I148" s="64"/>
      <c r="J148" s="62">
        <f t="shared" si="54"/>
        <v>3085</v>
      </c>
      <c r="K148" s="56">
        <f t="shared" si="55"/>
        <v>98.27970691302963</v>
      </c>
      <c r="L148" s="62">
        <f t="shared" si="56"/>
        <v>3085</v>
      </c>
      <c r="M148" s="65">
        <f t="shared" si="57"/>
        <v>3085</v>
      </c>
      <c r="N148" s="65"/>
      <c r="O148" s="48">
        <f t="shared" si="52"/>
        <v>99.01242433896145</v>
      </c>
      <c r="P148" s="66">
        <v>23</v>
      </c>
    </row>
    <row r="149" spans="1:16" ht="13.5" customHeight="1">
      <c r="A149" s="60">
        <v>12</v>
      </c>
      <c r="B149" s="61" t="s">
        <v>138</v>
      </c>
      <c r="C149" s="62">
        <v>2074</v>
      </c>
      <c r="D149" s="62"/>
      <c r="E149" s="62">
        <f t="shared" si="53"/>
        <v>2074</v>
      </c>
      <c r="F149" s="62">
        <v>2013</v>
      </c>
      <c r="G149" s="64">
        <f aca="true" t="shared" si="58" ref="G149:G164">F149/C149*100</f>
        <v>97.05882352941177</v>
      </c>
      <c r="H149" s="63"/>
      <c r="I149" s="64"/>
      <c r="J149" s="62">
        <f t="shared" si="54"/>
        <v>2013</v>
      </c>
      <c r="K149" s="56">
        <f t="shared" si="55"/>
        <v>97.05882352941177</v>
      </c>
      <c r="L149" s="62">
        <f t="shared" si="56"/>
        <v>2013</v>
      </c>
      <c r="M149" s="65">
        <f t="shared" si="57"/>
        <v>2013</v>
      </c>
      <c r="N149" s="65"/>
      <c r="O149" s="48">
        <f t="shared" si="52"/>
        <v>99.08389585342333</v>
      </c>
      <c r="P149" s="66">
        <v>42</v>
      </c>
    </row>
    <row r="150" spans="1:16" ht="13.5" customHeight="1">
      <c r="A150" s="60">
        <v>13</v>
      </c>
      <c r="B150" s="61" t="s">
        <v>139</v>
      </c>
      <c r="C150" s="62">
        <v>2102</v>
      </c>
      <c r="D150" s="62"/>
      <c r="E150" s="62">
        <f t="shared" si="53"/>
        <v>2102</v>
      </c>
      <c r="F150" s="62">
        <v>2047</v>
      </c>
      <c r="G150" s="64">
        <f t="shared" si="58"/>
        <v>97.38344433872503</v>
      </c>
      <c r="H150" s="63"/>
      <c r="I150" s="64"/>
      <c r="J150" s="62">
        <f t="shared" si="54"/>
        <v>2047</v>
      </c>
      <c r="K150" s="56">
        <f t="shared" si="55"/>
        <v>97.38344433872503</v>
      </c>
      <c r="L150" s="62">
        <f t="shared" si="56"/>
        <v>2047</v>
      </c>
      <c r="M150" s="65">
        <f t="shared" si="57"/>
        <v>2047</v>
      </c>
      <c r="N150" s="65"/>
      <c r="O150" s="48">
        <f t="shared" si="52"/>
        <v>98.09705042816366</v>
      </c>
      <c r="P150" s="66">
        <v>15</v>
      </c>
    </row>
    <row r="151" spans="1:16" ht="13.5" customHeight="1">
      <c r="A151" s="60">
        <v>14</v>
      </c>
      <c r="B151" s="61" t="s">
        <v>140</v>
      </c>
      <c r="C151" s="62">
        <v>4369</v>
      </c>
      <c r="D151" s="62"/>
      <c r="E151" s="62">
        <f t="shared" si="53"/>
        <v>4369</v>
      </c>
      <c r="F151" s="62">
        <v>4345</v>
      </c>
      <c r="G151" s="64">
        <f t="shared" si="58"/>
        <v>99.45067521171893</v>
      </c>
      <c r="H151" s="63"/>
      <c r="I151" s="64"/>
      <c r="J151" s="62">
        <f t="shared" si="54"/>
        <v>4345</v>
      </c>
      <c r="K151" s="56">
        <f t="shared" si="55"/>
        <v>99.45067521171893</v>
      </c>
      <c r="L151" s="62">
        <f t="shared" si="56"/>
        <v>4345</v>
      </c>
      <c r="M151" s="65">
        <f t="shared" si="57"/>
        <v>4345</v>
      </c>
      <c r="N151" s="65"/>
      <c r="O151" s="48">
        <f t="shared" si="52"/>
        <v>99.51934081025406</v>
      </c>
      <c r="P151" s="66">
        <v>3</v>
      </c>
    </row>
    <row r="152" spans="1:16" ht="13.5" customHeight="1">
      <c r="A152" s="53">
        <v>11</v>
      </c>
      <c r="B152" s="54" t="s">
        <v>141</v>
      </c>
      <c r="C152" s="55"/>
      <c r="D152" s="55"/>
      <c r="E152" s="55"/>
      <c r="F152" s="55"/>
      <c r="G152" s="56"/>
      <c r="H152" s="57"/>
      <c r="I152" s="56"/>
      <c r="J152" s="57"/>
      <c r="K152" s="56"/>
      <c r="L152" s="58"/>
      <c r="M152" s="58"/>
      <c r="N152" s="59"/>
      <c r="O152" s="46"/>
      <c r="P152" s="49"/>
    </row>
    <row r="153" spans="1:16" ht="13.5" customHeight="1">
      <c r="A153" s="60">
        <v>1</v>
      </c>
      <c r="B153" s="61" t="s">
        <v>142</v>
      </c>
      <c r="C153" s="62">
        <v>4616</v>
      </c>
      <c r="D153" s="62"/>
      <c r="E153" s="62">
        <f aca="true" t="shared" si="59" ref="E153:E164">C153</f>
        <v>4616</v>
      </c>
      <c r="F153" s="62">
        <v>4616</v>
      </c>
      <c r="G153" s="64">
        <f t="shared" si="58"/>
        <v>100</v>
      </c>
      <c r="H153" s="63"/>
      <c r="I153" s="64"/>
      <c r="J153" s="62">
        <f aca="true" t="shared" si="60" ref="J153:J164">F153</f>
        <v>4616</v>
      </c>
      <c r="K153" s="64">
        <f aca="true" t="shared" si="61" ref="K153:K164">J153/C153*100</f>
        <v>100</v>
      </c>
      <c r="L153" s="62">
        <f aca="true" t="shared" si="62" ref="L153:L164">J153</f>
        <v>4616</v>
      </c>
      <c r="M153" s="65">
        <f aca="true" t="shared" si="63" ref="M153:M164">L153</f>
        <v>4616</v>
      </c>
      <c r="N153" s="65"/>
      <c r="O153" s="45">
        <f>K153</f>
        <v>100</v>
      </c>
      <c r="P153" s="66"/>
    </row>
    <row r="154" spans="1:16" ht="13.5" customHeight="1">
      <c r="A154" s="60">
        <v>2</v>
      </c>
      <c r="B154" s="61" t="s">
        <v>143</v>
      </c>
      <c r="C154" s="62">
        <v>2200</v>
      </c>
      <c r="D154" s="62"/>
      <c r="E154" s="62">
        <f t="shared" si="59"/>
        <v>2200</v>
      </c>
      <c r="F154" s="62">
        <v>2142</v>
      </c>
      <c r="G154" s="64">
        <f t="shared" si="58"/>
        <v>97.36363636363636</v>
      </c>
      <c r="H154" s="63"/>
      <c r="I154" s="64"/>
      <c r="J154" s="62">
        <f t="shared" si="60"/>
        <v>2142</v>
      </c>
      <c r="K154" s="56">
        <f t="shared" si="61"/>
        <v>97.36363636363636</v>
      </c>
      <c r="L154" s="62">
        <f t="shared" si="62"/>
        <v>2142</v>
      </c>
      <c r="M154" s="65">
        <f t="shared" si="63"/>
        <v>2142</v>
      </c>
      <c r="N154" s="65"/>
      <c r="O154" s="48">
        <f t="shared" si="52"/>
        <v>99.04545454545455</v>
      </c>
      <c r="P154" s="66">
        <v>37</v>
      </c>
    </row>
    <row r="155" spans="1:16" ht="13.5" customHeight="1">
      <c r="A155" s="60">
        <v>3</v>
      </c>
      <c r="B155" s="61" t="s">
        <v>144</v>
      </c>
      <c r="C155" s="62">
        <v>2185</v>
      </c>
      <c r="D155" s="62"/>
      <c r="E155" s="62">
        <f t="shared" si="59"/>
        <v>2185</v>
      </c>
      <c r="F155" s="62">
        <v>2097</v>
      </c>
      <c r="G155" s="64">
        <f t="shared" si="58"/>
        <v>95.97254004576658</v>
      </c>
      <c r="H155" s="63"/>
      <c r="I155" s="64"/>
      <c r="J155" s="62">
        <f t="shared" si="60"/>
        <v>2097</v>
      </c>
      <c r="K155" s="56">
        <f t="shared" si="61"/>
        <v>95.97254004576658</v>
      </c>
      <c r="L155" s="62">
        <f t="shared" si="62"/>
        <v>2097</v>
      </c>
      <c r="M155" s="65">
        <f t="shared" si="63"/>
        <v>2097</v>
      </c>
      <c r="N155" s="65"/>
      <c r="O155" s="48">
        <f t="shared" si="52"/>
        <v>98.07780320366133</v>
      </c>
      <c r="P155" s="66">
        <v>46</v>
      </c>
    </row>
    <row r="156" spans="1:16" ht="13.5" customHeight="1">
      <c r="A156" s="60">
        <v>4</v>
      </c>
      <c r="B156" s="61" t="s">
        <v>145</v>
      </c>
      <c r="C156" s="62">
        <v>3995</v>
      </c>
      <c r="D156" s="62"/>
      <c r="E156" s="62">
        <f t="shared" si="59"/>
        <v>3995</v>
      </c>
      <c r="F156" s="62">
        <v>3995</v>
      </c>
      <c r="G156" s="64">
        <f t="shared" si="58"/>
        <v>100</v>
      </c>
      <c r="H156" s="63"/>
      <c r="I156" s="64"/>
      <c r="J156" s="62">
        <f t="shared" si="60"/>
        <v>3995</v>
      </c>
      <c r="K156" s="64">
        <f t="shared" si="61"/>
        <v>100</v>
      </c>
      <c r="L156" s="62">
        <f t="shared" si="62"/>
        <v>3995</v>
      </c>
      <c r="M156" s="65">
        <f t="shared" si="63"/>
        <v>3995</v>
      </c>
      <c r="N156" s="65"/>
      <c r="O156" s="45">
        <f>K156</f>
        <v>100</v>
      </c>
      <c r="P156" s="66"/>
    </row>
    <row r="157" spans="1:16" ht="13.5" customHeight="1">
      <c r="A157" s="60">
        <v>5</v>
      </c>
      <c r="B157" s="61" t="s">
        <v>146</v>
      </c>
      <c r="C157" s="62">
        <v>2853</v>
      </c>
      <c r="D157" s="62"/>
      <c r="E157" s="62">
        <f t="shared" si="59"/>
        <v>2853</v>
      </c>
      <c r="F157" s="62">
        <v>2758</v>
      </c>
      <c r="G157" s="64">
        <f t="shared" si="58"/>
        <v>96.6701717490361</v>
      </c>
      <c r="H157" s="63"/>
      <c r="I157" s="64"/>
      <c r="J157" s="62">
        <f t="shared" si="60"/>
        <v>2758</v>
      </c>
      <c r="K157" s="56">
        <f t="shared" si="61"/>
        <v>96.6701717490361</v>
      </c>
      <c r="L157" s="62">
        <f t="shared" si="62"/>
        <v>2758</v>
      </c>
      <c r="M157" s="65">
        <f t="shared" si="63"/>
        <v>2758</v>
      </c>
      <c r="N157" s="65"/>
      <c r="O157" s="48">
        <f t="shared" si="52"/>
        <v>98.07220469681037</v>
      </c>
      <c r="P157" s="66">
        <v>40</v>
      </c>
    </row>
    <row r="158" spans="1:16" ht="13.5" customHeight="1">
      <c r="A158" s="60">
        <v>6</v>
      </c>
      <c r="B158" s="61" t="s">
        <v>147</v>
      </c>
      <c r="C158" s="62">
        <v>2477</v>
      </c>
      <c r="D158" s="62"/>
      <c r="E158" s="62">
        <f t="shared" si="59"/>
        <v>2477</v>
      </c>
      <c r="F158" s="62">
        <v>2381</v>
      </c>
      <c r="G158" s="64">
        <f t="shared" si="58"/>
        <v>96.12434396447316</v>
      </c>
      <c r="H158" s="63"/>
      <c r="I158" s="64"/>
      <c r="J158" s="62">
        <f t="shared" si="60"/>
        <v>2381</v>
      </c>
      <c r="K158" s="56">
        <f t="shared" si="61"/>
        <v>96.12434396447316</v>
      </c>
      <c r="L158" s="62">
        <f t="shared" si="62"/>
        <v>2381</v>
      </c>
      <c r="M158" s="65">
        <f t="shared" si="63"/>
        <v>2381</v>
      </c>
      <c r="N158" s="65"/>
      <c r="O158" s="48">
        <f t="shared" si="52"/>
        <v>98.66774323778765</v>
      </c>
      <c r="P158" s="66">
        <v>63</v>
      </c>
    </row>
    <row r="159" spans="1:16" ht="13.5" customHeight="1">
      <c r="A159" s="60">
        <v>7</v>
      </c>
      <c r="B159" s="61" t="s">
        <v>148</v>
      </c>
      <c r="C159" s="62">
        <v>2408</v>
      </c>
      <c r="D159" s="62"/>
      <c r="E159" s="62">
        <f t="shared" si="59"/>
        <v>2408</v>
      </c>
      <c r="F159" s="62">
        <v>2366</v>
      </c>
      <c r="G159" s="64">
        <f t="shared" si="58"/>
        <v>98.25581395348837</v>
      </c>
      <c r="H159" s="63"/>
      <c r="I159" s="64"/>
      <c r="J159" s="62">
        <f t="shared" si="60"/>
        <v>2366</v>
      </c>
      <c r="K159" s="64">
        <f t="shared" si="61"/>
        <v>98.25581395348837</v>
      </c>
      <c r="L159" s="62">
        <f t="shared" si="62"/>
        <v>2366</v>
      </c>
      <c r="M159" s="65">
        <f t="shared" si="63"/>
        <v>2366</v>
      </c>
      <c r="N159" s="65"/>
      <c r="O159" s="48">
        <f t="shared" si="52"/>
        <v>100</v>
      </c>
      <c r="P159" s="66">
        <v>42</v>
      </c>
    </row>
    <row r="160" spans="1:16" ht="13.5" customHeight="1">
      <c r="A160" s="60">
        <v>8</v>
      </c>
      <c r="B160" s="61" t="s">
        <v>149</v>
      </c>
      <c r="C160" s="62">
        <v>2533</v>
      </c>
      <c r="D160" s="62"/>
      <c r="E160" s="62">
        <f t="shared" si="59"/>
        <v>2533</v>
      </c>
      <c r="F160" s="62">
        <v>2429</v>
      </c>
      <c r="G160" s="64">
        <f t="shared" si="58"/>
        <v>95.89419660481643</v>
      </c>
      <c r="H160" s="63"/>
      <c r="I160" s="64"/>
      <c r="J160" s="62">
        <f t="shared" si="60"/>
        <v>2429</v>
      </c>
      <c r="K160" s="64">
        <f t="shared" si="61"/>
        <v>95.89419660481643</v>
      </c>
      <c r="L160" s="62">
        <f t="shared" si="62"/>
        <v>2429</v>
      </c>
      <c r="M160" s="65">
        <f t="shared" si="63"/>
        <v>2429</v>
      </c>
      <c r="N160" s="65"/>
      <c r="O160" s="48">
        <f t="shared" si="52"/>
        <v>99.01302803000395</v>
      </c>
      <c r="P160" s="66">
        <v>79</v>
      </c>
    </row>
    <row r="161" spans="1:16" ht="13.5" customHeight="1">
      <c r="A161" s="60">
        <v>9</v>
      </c>
      <c r="B161" s="61" t="s">
        <v>150</v>
      </c>
      <c r="C161" s="62">
        <v>2140</v>
      </c>
      <c r="D161" s="62"/>
      <c r="E161" s="62">
        <f t="shared" si="59"/>
        <v>2140</v>
      </c>
      <c r="F161" s="62">
        <v>2140</v>
      </c>
      <c r="G161" s="64">
        <f t="shared" si="58"/>
        <v>100</v>
      </c>
      <c r="H161" s="63"/>
      <c r="I161" s="64"/>
      <c r="J161" s="62">
        <f t="shared" si="60"/>
        <v>2140</v>
      </c>
      <c r="K161" s="64">
        <f t="shared" si="61"/>
        <v>100</v>
      </c>
      <c r="L161" s="62">
        <f t="shared" si="62"/>
        <v>2140</v>
      </c>
      <c r="M161" s="65">
        <f t="shared" si="63"/>
        <v>2140</v>
      </c>
      <c r="N161" s="65"/>
      <c r="O161" s="45">
        <f>K161</f>
        <v>100</v>
      </c>
      <c r="P161" s="66"/>
    </row>
    <row r="162" spans="1:16" ht="13.5" customHeight="1">
      <c r="A162" s="60">
        <v>10</v>
      </c>
      <c r="B162" s="61" t="s">
        <v>151</v>
      </c>
      <c r="C162" s="62">
        <v>4092</v>
      </c>
      <c r="D162" s="62"/>
      <c r="E162" s="62">
        <f t="shared" si="59"/>
        <v>4092</v>
      </c>
      <c r="F162" s="62">
        <v>4007</v>
      </c>
      <c r="G162" s="64">
        <f t="shared" si="58"/>
        <v>97.9227761485826</v>
      </c>
      <c r="H162" s="63"/>
      <c r="I162" s="64"/>
      <c r="J162" s="62">
        <f t="shared" si="60"/>
        <v>4007</v>
      </c>
      <c r="K162" s="56">
        <f t="shared" si="61"/>
        <v>97.9227761485826</v>
      </c>
      <c r="L162" s="62">
        <f t="shared" si="62"/>
        <v>4007</v>
      </c>
      <c r="M162" s="65">
        <f t="shared" si="63"/>
        <v>4007</v>
      </c>
      <c r="N162" s="65"/>
      <c r="O162" s="48">
        <f t="shared" si="52"/>
        <v>98.82697947214076</v>
      </c>
      <c r="P162" s="66">
        <v>37</v>
      </c>
    </row>
    <row r="163" spans="1:16" ht="13.5" customHeight="1">
      <c r="A163" s="60">
        <v>11</v>
      </c>
      <c r="B163" s="61" t="s">
        <v>152</v>
      </c>
      <c r="C163" s="62">
        <v>3083</v>
      </c>
      <c r="D163" s="62"/>
      <c r="E163" s="62">
        <f t="shared" si="59"/>
        <v>3083</v>
      </c>
      <c r="F163" s="62">
        <v>2890</v>
      </c>
      <c r="G163" s="64">
        <f t="shared" si="58"/>
        <v>93.73986376905611</v>
      </c>
      <c r="H163" s="63"/>
      <c r="I163" s="64"/>
      <c r="J163" s="62">
        <f t="shared" si="60"/>
        <v>2890</v>
      </c>
      <c r="K163" s="56">
        <f t="shared" si="61"/>
        <v>93.73986376905611</v>
      </c>
      <c r="L163" s="62">
        <f t="shared" si="62"/>
        <v>2890</v>
      </c>
      <c r="M163" s="65">
        <f t="shared" si="63"/>
        <v>2890</v>
      </c>
      <c r="N163" s="65"/>
      <c r="O163" s="48">
        <f t="shared" si="52"/>
        <v>100</v>
      </c>
      <c r="P163" s="66">
        <v>193</v>
      </c>
    </row>
    <row r="164" spans="1:16" ht="13.5" customHeight="1" thickBot="1">
      <c r="A164" s="60">
        <v>12</v>
      </c>
      <c r="B164" s="67" t="s">
        <v>153</v>
      </c>
      <c r="C164" s="68">
        <v>2327</v>
      </c>
      <c r="D164" s="68"/>
      <c r="E164" s="68">
        <f t="shared" si="59"/>
        <v>2327</v>
      </c>
      <c r="F164" s="68">
        <v>2282</v>
      </c>
      <c r="G164" s="70">
        <f t="shared" si="58"/>
        <v>98.06617963042544</v>
      </c>
      <c r="H164" s="69"/>
      <c r="I164" s="70"/>
      <c r="J164" s="68">
        <f t="shared" si="60"/>
        <v>2282</v>
      </c>
      <c r="K164" s="71">
        <f t="shared" si="61"/>
        <v>98.06617963042544</v>
      </c>
      <c r="L164" s="62">
        <f t="shared" si="62"/>
        <v>2282</v>
      </c>
      <c r="M164" s="65">
        <f t="shared" si="63"/>
        <v>2282</v>
      </c>
      <c r="N164" s="72"/>
      <c r="O164" s="51">
        <f t="shared" si="52"/>
        <v>99.35539321014181</v>
      </c>
      <c r="P164" s="66">
        <v>30</v>
      </c>
    </row>
    <row r="165" spans="1:16" ht="16.5" thickBot="1">
      <c r="A165" s="73">
        <f>A24+A34+A52+A63+A75+A89+A104+A122+A136+A151+A164</f>
        <v>136</v>
      </c>
      <c r="B165" s="29" t="s">
        <v>170</v>
      </c>
      <c r="C165" s="30">
        <f>C16+C35</f>
        <v>392381</v>
      </c>
      <c r="D165" s="31"/>
      <c r="E165" s="30">
        <f>E16+E35</f>
        <v>392381</v>
      </c>
      <c r="F165" s="30">
        <f>F16+F35</f>
        <v>383729</v>
      </c>
      <c r="G165" s="32">
        <f>F165/C165*100</f>
        <v>97.79500026759706</v>
      </c>
      <c r="H165" s="31"/>
      <c r="I165" s="31"/>
      <c r="J165" s="30">
        <f>J16+J35</f>
        <v>383729</v>
      </c>
      <c r="K165" s="32">
        <f>J165/C165*100</f>
        <v>97.79500026759706</v>
      </c>
      <c r="L165" s="30">
        <f>L16+L35</f>
        <v>383729</v>
      </c>
      <c r="M165" s="30">
        <f>M16+M35</f>
        <v>383376</v>
      </c>
      <c r="N165" s="37">
        <f>N16+N35</f>
        <v>353</v>
      </c>
      <c r="O165" s="52">
        <f t="shared" si="52"/>
        <v>99.04404137815031</v>
      </c>
      <c r="P165" s="50">
        <f>P16+P35</f>
        <v>4901</v>
      </c>
    </row>
    <row r="167" ht="15.75">
      <c r="L167" s="452"/>
    </row>
    <row r="168" spans="1:12" ht="15.75">
      <c r="A168" s="453"/>
      <c r="L168" s="452"/>
    </row>
    <row r="169" ht="15.75">
      <c r="A169" s="454"/>
    </row>
    <row r="170" ht="15.75">
      <c r="A170" s="40"/>
    </row>
    <row r="171" ht="15.75">
      <c r="A171" s="40"/>
    </row>
    <row r="172" ht="15.75">
      <c r="A172" s="40"/>
    </row>
    <row r="173" ht="15.75">
      <c r="A173" s="40"/>
    </row>
    <row r="174" ht="15.75">
      <c r="A174" s="40"/>
    </row>
    <row r="175" ht="15.75">
      <c r="A175" s="40"/>
    </row>
    <row r="176" spans="1:12" ht="15.75">
      <c r="A176" s="40"/>
      <c r="L176" s="452"/>
    </row>
  </sheetData>
  <sheetProtection/>
  <mergeCells count="21">
    <mergeCell ref="C10:E10"/>
    <mergeCell ref="F12:F13"/>
    <mergeCell ref="E11:E13"/>
    <mergeCell ref="F11:G11"/>
    <mergeCell ref="D11:D13"/>
    <mergeCell ref="C11:C13"/>
    <mergeCell ref="J11:K11"/>
    <mergeCell ref="J12:J13"/>
    <mergeCell ref="F10:K10"/>
    <mergeCell ref="G12:G13"/>
    <mergeCell ref="K12:K13"/>
    <mergeCell ref="A6:O6"/>
    <mergeCell ref="A7:O7"/>
    <mergeCell ref="A8:O8"/>
    <mergeCell ref="A10:A13"/>
    <mergeCell ref="N11:N13"/>
    <mergeCell ref="B10:B13"/>
    <mergeCell ref="L10:N10"/>
    <mergeCell ref="H11:I11"/>
    <mergeCell ref="H12:H13"/>
    <mergeCell ref="I12:I13"/>
  </mergeCells>
  <printOptions horizontalCentered="1"/>
  <pageMargins left="0.25" right="0" top="0.5" bottom="0.5" header="0.2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28125" style="120" customWidth="1"/>
    <col min="2" max="2" width="14.00390625" style="120" customWidth="1"/>
    <col min="3" max="3" width="9.28125" style="120" customWidth="1"/>
    <col min="4" max="4" width="7.28125" style="120" customWidth="1"/>
    <col min="5" max="5" width="9.140625" style="120" customWidth="1"/>
    <col min="6" max="6" width="8.57421875" style="120" customWidth="1"/>
    <col min="7" max="7" width="6.8515625" style="120" customWidth="1"/>
    <col min="8" max="8" width="7.7109375" style="120" customWidth="1"/>
    <col min="9" max="10" width="10.7109375" style="120" customWidth="1"/>
    <col min="11" max="11" width="10.57421875" style="120" customWidth="1"/>
    <col min="12" max="12" width="9.421875" style="120" bestFit="1" customWidth="1"/>
    <col min="13" max="14" width="9.140625" style="120" customWidth="1"/>
    <col min="15" max="15" width="8.00390625" style="120" customWidth="1"/>
    <col min="16" max="16" width="9.140625" style="120" customWidth="1"/>
    <col min="17" max="17" width="0.13671875" style="120" customWidth="1"/>
    <col min="18" max="16384" width="9.140625" style="120" customWidth="1"/>
  </cols>
  <sheetData>
    <row r="1" spans="2:15" s="74" customFormat="1" ht="12.75">
      <c r="B1" s="41" t="s">
        <v>178</v>
      </c>
      <c r="O1" s="89" t="s">
        <v>560</v>
      </c>
    </row>
    <row r="2" s="74" customFormat="1" ht="12.75">
      <c r="B2" s="41" t="s">
        <v>179</v>
      </c>
    </row>
    <row r="3" s="74" customFormat="1" ht="12.75">
      <c r="B3" s="41" t="s">
        <v>180</v>
      </c>
    </row>
    <row r="4" s="74" customFormat="1" ht="12.75"/>
    <row r="5" s="74" customFormat="1" ht="12.75"/>
    <row r="6" spans="1:16" s="74" customFormat="1" ht="18.75">
      <c r="A6" s="500" t="s">
        <v>175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</row>
    <row r="7" spans="1:16" s="74" customFormat="1" ht="18.75">
      <c r="A7" s="500" t="s">
        <v>301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</row>
    <row r="8" spans="1:16" s="74" customFormat="1" ht="18.75">
      <c r="A8" s="500" t="s">
        <v>302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</row>
    <row r="10" spans="1:16" s="74" customFormat="1" ht="24" customHeight="1">
      <c r="A10" s="502" t="s">
        <v>0</v>
      </c>
      <c r="B10" s="80"/>
      <c r="C10" s="479" t="s">
        <v>212</v>
      </c>
      <c r="D10" s="499" t="s">
        <v>181</v>
      </c>
      <c r="E10" s="499"/>
      <c r="F10" s="82" t="s">
        <v>182</v>
      </c>
      <c r="G10" s="499" t="s">
        <v>183</v>
      </c>
      <c r="H10" s="499"/>
      <c r="I10" s="499" t="s">
        <v>184</v>
      </c>
      <c r="J10" s="499"/>
      <c r="K10" s="499"/>
      <c r="L10" s="499"/>
      <c r="M10" s="499" t="s">
        <v>185</v>
      </c>
      <c r="N10" s="499"/>
      <c r="O10" s="501"/>
      <c r="P10" s="76" t="s">
        <v>171</v>
      </c>
    </row>
    <row r="11" spans="1:16" s="74" customFormat="1" ht="20.25" customHeight="1">
      <c r="A11" s="503"/>
      <c r="B11" s="83" t="s">
        <v>186</v>
      </c>
      <c r="C11" s="480"/>
      <c r="D11" s="84" t="s">
        <v>187</v>
      </c>
      <c r="E11" s="84" t="s">
        <v>188</v>
      </c>
      <c r="F11" s="83" t="s">
        <v>189</v>
      </c>
      <c r="G11" s="84" t="s">
        <v>190</v>
      </c>
      <c r="H11" s="84" t="s">
        <v>191</v>
      </c>
      <c r="I11" s="479" t="s">
        <v>215</v>
      </c>
      <c r="J11" s="499" t="s">
        <v>192</v>
      </c>
      <c r="K11" s="499"/>
      <c r="L11" s="84" t="s">
        <v>193</v>
      </c>
      <c r="M11" s="84" t="s">
        <v>194</v>
      </c>
      <c r="N11" s="479" t="s">
        <v>213</v>
      </c>
      <c r="O11" s="483" t="s">
        <v>214</v>
      </c>
      <c r="P11" s="77" t="s">
        <v>172</v>
      </c>
    </row>
    <row r="12" spans="1:16" s="74" customFormat="1" ht="30" customHeight="1">
      <c r="A12" s="503"/>
      <c r="B12" s="83" t="s">
        <v>195</v>
      </c>
      <c r="C12" s="482"/>
      <c r="D12" s="83"/>
      <c r="E12" s="83" t="s">
        <v>196</v>
      </c>
      <c r="F12" s="83" t="s">
        <v>197</v>
      </c>
      <c r="G12" s="83"/>
      <c r="H12" s="83"/>
      <c r="I12" s="482"/>
      <c r="J12" s="84" t="s">
        <v>198</v>
      </c>
      <c r="K12" s="84" t="s">
        <v>199</v>
      </c>
      <c r="L12" s="83" t="s">
        <v>200</v>
      </c>
      <c r="M12" s="83" t="s">
        <v>201</v>
      </c>
      <c r="N12" s="482"/>
      <c r="O12" s="477"/>
      <c r="P12" s="77" t="s">
        <v>300</v>
      </c>
    </row>
    <row r="13" spans="1:16" s="74" customFormat="1" ht="22.5" customHeight="1">
      <c r="A13" s="504"/>
      <c r="B13" s="85"/>
      <c r="C13" s="86" t="s">
        <v>202</v>
      </c>
      <c r="D13" s="86" t="s">
        <v>203</v>
      </c>
      <c r="E13" s="86" t="s">
        <v>204</v>
      </c>
      <c r="F13" s="86" t="s">
        <v>202</v>
      </c>
      <c r="G13" s="86" t="s">
        <v>205</v>
      </c>
      <c r="H13" s="86" t="s">
        <v>205</v>
      </c>
      <c r="I13" s="86" t="s">
        <v>206</v>
      </c>
      <c r="J13" s="86" t="s">
        <v>206</v>
      </c>
      <c r="K13" s="86" t="s">
        <v>206</v>
      </c>
      <c r="L13" s="87" t="s">
        <v>7</v>
      </c>
      <c r="M13" s="86" t="s">
        <v>6</v>
      </c>
      <c r="N13" s="86" t="s">
        <v>6</v>
      </c>
      <c r="O13" s="173" t="s">
        <v>7</v>
      </c>
      <c r="P13" s="175" t="s">
        <v>7</v>
      </c>
    </row>
    <row r="14" spans="1:16" s="89" customFormat="1" ht="24" customHeight="1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1">
        <v>8</v>
      </c>
      <c r="I14" s="81">
        <v>9</v>
      </c>
      <c r="J14" s="81">
        <v>10</v>
      </c>
      <c r="K14" s="81">
        <v>11</v>
      </c>
      <c r="L14" s="88" t="s">
        <v>207</v>
      </c>
      <c r="M14" s="81">
        <v>13</v>
      </c>
      <c r="N14" s="81">
        <v>14</v>
      </c>
      <c r="O14" s="81" t="s">
        <v>208</v>
      </c>
      <c r="P14" s="441">
        <v>16</v>
      </c>
    </row>
    <row r="15" spans="1:17" s="89" customFormat="1" ht="24" customHeight="1">
      <c r="A15" s="442" t="s">
        <v>167</v>
      </c>
      <c r="B15" s="90" t="s">
        <v>166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61"/>
      <c r="Q15" s="195"/>
    </row>
    <row r="16" spans="1:17" s="89" customFormat="1" ht="18.75" customHeight="1">
      <c r="A16" s="84">
        <v>1</v>
      </c>
      <c r="B16" s="75" t="s">
        <v>8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162"/>
      <c r="Q16" s="176"/>
    </row>
    <row r="17" spans="1:17" s="99" customFormat="1" ht="16.5" customHeight="1">
      <c r="A17" s="100">
        <v>1</v>
      </c>
      <c r="B17" s="107" t="s">
        <v>211</v>
      </c>
      <c r="C17" s="108">
        <v>7.2</v>
      </c>
      <c r="D17" s="107">
        <v>14</v>
      </c>
      <c r="E17" s="109">
        <v>2207.5</v>
      </c>
      <c r="F17" s="108">
        <v>21.2</v>
      </c>
      <c r="G17" s="110">
        <v>31</v>
      </c>
      <c r="H17" s="110">
        <v>2430</v>
      </c>
      <c r="I17" s="110">
        <v>436320</v>
      </c>
      <c r="J17" s="110">
        <v>354971</v>
      </c>
      <c r="K17" s="110">
        <v>51550</v>
      </c>
      <c r="L17" s="111">
        <f>(I17-J17-K17)/I17*100</f>
        <v>6.829620462046204</v>
      </c>
      <c r="M17" s="62">
        <v>2496</v>
      </c>
      <c r="N17" s="62">
        <v>2496</v>
      </c>
      <c r="O17" s="113">
        <f>N17/M17*100</f>
        <v>100</v>
      </c>
      <c r="P17" s="178">
        <f>O17</f>
        <v>100</v>
      </c>
      <c r="Q17" s="177"/>
    </row>
    <row r="18" spans="1:17" s="99" customFormat="1" ht="15.75" customHeight="1">
      <c r="A18" s="100">
        <v>2</v>
      </c>
      <c r="B18" s="92" t="s">
        <v>209</v>
      </c>
      <c r="C18" s="93">
        <v>27.4</v>
      </c>
      <c r="D18" s="94">
        <v>21</v>
      </c>
      <c r="E18" s="95">
        <v>5562.5</v>
      </c>
      <c r="F18" s="93">
        <v>29.2</v>
      </c>
      <c r="G18" s="96">
        <v>30</v>
      </c>
      <c r="H18" s="96">
        <v>3601</v>
      </c>
      <c r="I18" s="96">
        <v>777270</v>
      </c>
      <c r="J18" s="96">
        <v>650613</v>
      </c>
      <c r="K18" s="96">
        <v>74954</v>
      </c>
      <c r="L18" s="97">
        <f>(I18-J18-K18)/I18*100</f>
        <v>6.651871293115648</v>
      </c>
      <c r="M18" s="62">
        <v>3193</v>
      </c>
      <c r="N18" s="62">
        <v>3193</v>
      </c>
      <c r="O18" s="98">
        <f>N18/M18*100</f>
        <v>100</v>
      </c>
      <c r="P18" s="178">
        <f>O18</f>
        <v>100</v>
      </c>
      <c r="Q18" s="177"/>
    </row>
    <row r="19" spans="1:17" s="99" customFormat="1" ht="15" customHeight="1">
      <c r="A19" s="91">
        <v>3</v>
      </c>
      <c r="B19" s="101" t="s">
        <v>210</v>
      </c>
      <c r="C19" s="102">
        <v>38.2</v>
      </c>
      <c r="D19" s="103">
        <v>25</v>
      </c>
      <c r="E19" s="104">
        <v>5657.5</v>
      </c>
      <c r="F19" s="102">
        <v>37.5</v>
      </c>
      <c r="G19" s="105">
        <v>68</v>
      </c>
      <c r="H19" s="105">
        <v>4922</v>
      </c>
      <c r="I19" s="105">
        <v>1412440</v>
      </c>
      <c r="J19" s="105">
        <v>1148124</v>
      </c>
      <c r="K19" s="105">
        <v>163168</v>
      </c>
      <c r="L19" s="97">
        <f>(I19-J19-K19)/I19*100</f>
        <v>7.161224547591402</v>
      </c>
      <c r="M19" s="62">
        <v>4841</v>
      </c>
      <c r="N19" s="62">
        <v>4841</v>
      </c>
      <c r="O19" s="106">
        <f>N19/M19*100</f>
        <v>100</v>
      </c>
      <c r="P19" s="178">
        <f>O19</f>
        <v>100</v>
      </c>
      <c r="Q19" s="177"/>
    </row>
    <row r="20" spans="1:18" s="99" customFormat="1" ht="14.25" customHeight="1">
      <c r="A20" s="91">
        <v>4</v>
      </c>
      <c r="B20" s="151" t="s">
        <v>306</v>
      </c>
      <c r="C20" s="153">
        <f>(3.5+2.2+3.8+1.2+3.5)*1.5</f>
        <v>21.299999999999997</v>
      </c>
      <c r="D20" s="153">
        <v>78</v>
      </c>
      <c r="E20" s="155">
        <v>8815</v>
      </c>
      <c r="F20" s="153">
        <v>76.3</v>
      </c>
      <c r="G20" s="153">
        <v>40</v>
      </c>
      <c r="H20" s="155">
        <v>5347</v>
      </c>
      <c r="I20" s="155">
        <v>1425840</v>
      </c>
      <c r="J20" s="155">
        <v>1236034</v>
      </c>
      <c r="K20" s="155">
        <v>185167</v>
      </c>
      <c r="L20" s="156">
        <v>0.33</v>
      </c>
      <c r="M20" s="62">
        <v>5153</v>
      </c>
      <c r="N20" s="62">
        <v>5116</v>
      </c>
      <c r="O20" s="157">
        <f>+N20/M20*100</f>
        <v>99.2819716669901</v>
      </c>
      <c r="P20" s="179">
        <f>(N20+Q20)/M20*100</f>
        <v>99.59247040558897</v>
      </c>
      <c r="Q20" s="196">
        <v>16</v>
      </c>
      <c r="R20" s="446"/>
    </row>
    <row r="21" spans="1:17" s="99" customFormat="1" ht="14.25" customHeight="1">
      <c r="A21" s="91">
        <v>5</v>
      </c>
      <c r="B21" s="151" t="s">
        <v>307</v>
      </c>
      <c r="C21" s="153">
        <f>(4.7+2+1+2+1.8)*1.6</f>
        <v>18.400000000000002</v>
      </c>
      <c r="D21" s="153">
        <v>34</v>
      </c>
      <c r="E21" s="155">
        <v>3555</v>
      </c>
      <c r="F21" s="153">
        <v>33.26</v>
      </c>
      <c r="G21" s="153">
        <v>26</v>
      </c>
      <c r="H21" s="155">
        <v>4172</v>
      </c>
      <c r="I21" s="155">
        <v>994960</v>
      </c>
      <c r="J21" s="155">
        <v>783737</v>
      </c>
      <c r="K21" s="155">
        <v>157975</v>
      </c>
      <c r="L21" s="156">
        <v>5.35</v>
      </c>
      <c r="M21" s="62">
        <v>3603</v>
      </c>
      <c r="N21" s="62">
        <v>3603</v>
      </c>
      <c r="O21" s="178">
        <f>+N21/M21*100</f>
        <v>100</v>
      </c>
      <c r="P21" s="178">
        <f>O21</f>
        <v>100</v>
      </c>
      <c r="Q21" s="196"/>
    </row>
    <row r="22" spans="1:18" s="99" customFormat="1" ht="14.25" customHeight="1">
      <c r="A22" s="91">
        <v>6</v>
      </c>
      <c r="B22" s="151" t="s">
        <v>308</v>
      </c>
      <c r="C22" s="153">
        <f>(4.2+2.7+0.8+1.5+0.7+1.07+2.5+0.9+0.9+1.4+2.5+1.3+4)</f>
        <v>24.47</v>
      </c>
      <c r="D22" s="153">
        <v>74</v>
      </c>
      <c r="E22" s="154">
        <v>6697.5</v>
      </c>
      <c r="F22" s="153">
        <v>72.39</v>
      </c>
      <c r="G22" s="153">
        <v>73</v>
      </c>
      <c r="H22" s="155">
        <v>10758</v>
      </c>
      <c r="I22" s="155">
        <v>2241860</v>
      </c>
      <c r="J22" s="155">
        <v>1827416</v>
      </c>
      <c r="K22" s="155">
        <v>233605</v>
      </c>
      <c r="L22" s="156">
        <v>8.07</v>
      </c>
      <c r="M22" s="62">
        <v>8380</v>
      </c>
      <c r="N22" s="62">
        <v>8334</v>
      </c>
      <c r="O22" s="157">
        <f>+N22/M22*100</f>
        <v>99.4510739856802</v>
      </c>
      <c r="P22" s="179">
        <f>(N22+Q22)/M22*100</f>
        <v>99.71360381861575</v>
      </c>
      <c r="Q22" s="196">
        <v>22</v>
      </c>
      <c r="R22" s="446"/>
    </row>
    <row r="23" spans="1:18" s="99" customFormat="1" ht="14.25" customHeight="1">
      <c r="A23" s="91">
        <v>7</v>
      </c>
      <c r="B23" s="151" t="s">
        <v>309</v>
      </c>
      <c r="C23" s="153">
        <f>(3.5+1)*1.3</f>
        <v>5.8500000000000005</v>
      </c>
      <c r="D23" s="153">
        <v>10</v>
      </c>
      <c r="E23" s="154">
        <v>765.5</v>
      </c>
      <c r="F23" s="153">
        <v>9.78</v>
      </c>
      <c r="G23" s="153">
        <v>1</v>
      </c>
      <c r="H23" s="155">
        <v>1120</v>
      </c>
      <c r="I23" s="155">
        <v>208850</v>
      </c>
      <c r="J23" s="155">
        <v>187896</v>
      </c>
      <c r="K23" s="155">
        <v>8872</v>
      </c>
      <c r="L23" s="156">
        <v>5.83</v>
      </c>
      <c r="M23" s="62">
        <v>1592</v>
      </c>
      <c r="N23" s="62">
        <v>1559</v>
      </c>
      <c r="O23" s="157">
        <f>+N23/M23*100</f>
        <v>97.92713567839196</v>
      </c>
      <c r="P23" s="179">
        <f>(N23+Q23)/M23*100</f>
        <v>100</v>
      </c>
      <c r="Q23" s="196">
        <v>33</v>
      </c>
      <c r="R23" s="446"/>
    </row>
    <row r="24" spans="1:17" s="99" customFormat="1" ht="17.25" customHeight="1">
      <c r="A24" s="83">
        <v>2</v>
      </c>
      <c r="B24" s="75" t="s">
        <v>45</v>
      </c>
      <c r="C24" s="107"/>
      <c r="D24" s="107"/>
      <c r="E24" s="109"/>
      <c r="F24" s="107"/>
      <c r="G24" s="110"/>
      <c r="H24" s="110"/>
      <c r="I24" s="110"/>
      <c r="J24" s="110"/>
      <c r="K24" s="110"/>
      <c r="L24" s="108"/>
      <c r="M24" s="110"/>
      <c r="N24" s="112"/>
      <c r="O24" s="114"/>
      <c r="P24" s="153"/>
      <c r="Q24" s="197"/>
    </row>
    <row r="25" spans="1:17" ht="12.75">
      <c r="A25" s="100">
        <v>1</v>
      </c>
      <c r="B25" s="115" t="s">
        <v>218</v>
      </c>
      <c r="C25" s="107">
        <v>27.786</v>
      </c>
      <c r="D25" s="116">
        <v>48</v>
      </c>
      <c r="E25" s="117">
        <f>100+50+2*37.5+50+75+2*37.5+100+2*37.5+100+75+150+100+150+45+160+320+75+160+160+75+160+50+50+2*75+50+75+100+2*37.5+100+50+2*37.5+50+37.5+2*75+37.5+50+50+50+2*75+50+100+100+100+100+50+2*37.5+50+100</f>
        <v>4405</v>
      </c>
      <c r="F25" s="107">
        <v>46.012</v>
      </c>
      <c r="G25" s="116">
        <v>13</v>
      </c>
      <c r="H25" s="116">
        <f>N25-G25</f>
        <v>1846</v>
      </c>
      <c r="I25" s="116">
        <f>(J25+K25)/0.9368</f>
        <v>483635.0697409622</v>
      </c>
      <c r="J25" s="118">
        <f>1052687/3</f>
        <v>350895.6666666667</v>
      </c>
      <c r="K25" s="118">
        <f>306521/3</f>
        <v>102173.66666666667</v>
      </c>
      <c r="L25" s="119">
        <f>(I25-J25-K25)/I25*100</f>
        <v>6.320000000000002</v>
      </c>
      <c r="M25" s="116">
        <f>N25</f>
        <v>1859</v>
      </c>
      <c r="N25" s="116">
        <v>1859</v>
      </c>
      <c r="O25" s="113">
        <f>N25/M25*100</f>
        <v>100</v>
      </c>
      <c r="P25" s="178">
        <f>O25</f>
        <v>100</v>
      </c>
      <c r="Q25" s="177"/>
    </row>
    <row r="26" spans="1:17" ht="12.75">
      <c r="A26" s="100">
        <v>2</v>
      </c>
      <c r="B26" s="115" t="s">
        <v>216</v>
      </c>
      <c r="C26" s="107">
        <v>34.548</v>
      </c>
      <c r="D26" s="116">
        <v>53</v>
      </c>
      <c r="E26" s="117">
        <f>2*37.5+50+100+50+50+50+3*37.5+150+250+75+25+100+37.5+2*37.5+100+100+50+50+50+37.5+2*37.5+37.5+37.5+37.5+100+50+45+75+2*37.5+37.5+50+50+2*75+25+75+75+2*37.5+100+2*37.5+320+50+100+50+37.5+2*37.5+2*37.5+3*37.5+37.5+37.5+150+150+320+50</f>
        <v>4397.5</v>
      </c>
      <c r="F26" s="107">
        <v>38.963</v>
      </c>
      <c r="G26" s="116">
        <v>33</v>
      </c>
      <c r="H26" s="116">
        <f aca="true" t="shared" si="0" ref="H26:H33">N26-G26</f>
        <v>2199</v>
      </c>
      <c r="I26" s="116">
        <f>(J26+K26)/0.934</f>
        <v>428591.36331192</v>
      </c>
      <c r="J26" s="118">
        <f>1065289/3</f>
        <v>355096.3333333333</v>
      </c>
      <c r="K26" s="118">
        <f>135624/3</f>
        <v>45208</v>
      </c>
      <c r="L26" s="119">
        <f aca="true" t="shared" si="1" ref="L26:L33">(I26-J26-K26)/I26*100</f>
        <v>6.599999999999998</v>
      </c>
      <c r="M26" s="116">
        <f>N26</f>
        <v>2232</v>
      </c>
      <c r="N26" s="116">
        <v>2232</v>
      </c>
      <c r="O26" s="113">
        <f aca="true" t="shared" si="2" ref="O26:O33">N26/M26*100</f>
        <v>100</v>
      </c>
      <c r="P26" s="178">
        <f>O26</f>
        <v>100</v>
      </c>
      <c r="Q26" s="177"/>
    </row>
    <row r="27" spans="1:17" ht="12.75">
      <c r="A27" s="100">
        <v>3</v>
      </c>
      <c r="B27" s="115" t="s">
        <v>222</v>
      </c>
      <c r="C27" s="107">
        <v>23.029</v>
      </c>
      <c r="D27" s="116">
        <v>49</v>
      </c>
      <c r="E27" s="117">
        <f>150+15+25+1000+1000+75+37.5+1000+25+15+250+250+75+15+250+37.5+400+25+25+25+75+75+75+75+75+25+25+75+400+75+250+320+45+75+45+160+150+75+75+150+3*37.5+160+150+150+3*37.5+160+250+400+3*25</f>
        <v>8585</v>
      </c>
      <c r="F27" s="107">
        <v>31.93</v>
      </c>
      <c r="G27" s="116">
        <v>33</v>
      </c>
      <c r="H27" s="116">
        <f>N27-G27</f>
        <v>2551</v>
      </c>
      <c r="I27" s="116">
        <f>(J27+K27)/0.948</f>
        <v>716716.947960619</v>
      </c>
      <c r="J27" s="118">
        <f>1925689/3</f>
        <v>641896.3333333334</v>
      </c>
      <c r="K27" s="118">
        <f>112654/3</f>
        <v>37551.333333333336</v>
      </c>
      <c r="L27" s="119">
        <f>(I27-J27-K27)/I27*100</f>
        <v>5.200000000000014</v>
      </c>
      <c r="M27" s="116">
        <f>N27</f>
        <v>2584</v>
      </c>
      <c r="N27" s="116">
        <v>2584</v>
      </c>
      <c r="O27" s="113">
        <f>N27/M27*100</f>
        <v>100</v>
      </c>
      <c r="P27" s="178">
        <f>O27</f>
        <v>100</v>
      </c>
      <c r="Q27" s="177"/>
    </row>
    <row r="28" spans="1:17" ht="12.75">
      <c r="A28" s="100">
        <v>4</v>
      </c>
      <c r="B28" s="115" t="s">
        <v>217</v>
      </c>
      <c r="C28" s="107">
        <v>18.517</v>
      </c>
      <c r="D28" s="116">
        <v>34</v>
      </c>
      <c r="E28" s="117">
        <f>3*37.5+50+15+2*37.5+100+50+250+320+2*37.5+75+50+50+50+100+30+320+75+320+100+100+25+100+75+150+250+75+50+2*37.5+50+50+37.5+50+50+2*37.5</f>
        <v>3430</v>
      </c>
      <c r="F28" s="107">
        <v>50.772</v>
      </c>
      <c r="G28" s="116">
        <v>20</v>
      </c>
      <c r="H28" s="116">
        <f t="shared" si="0"/>
        <v>3382</v>
      </c>
      <c r="I28" s="116">
        <f>(J28+K28)/0.9375</f>
        <v>735960.1777777779</v>
      </c>
      <c r="J28" s="118">
        <f>1974256/3</f>
        <v>658085.3333333334</v>
      </c>
      <c r="K28" s="118">
        <f>95632/3</f>
        <v>31877.333333333332</v>
      </c>
      <c r="L28" s="119">
        <f t="shared" si="1"/>
        <v>6.25000000000001</v>
      </c>
      <c r="M28" s="116">
        <f>N28</f>
        <v>3402</v>
      </c>
      <c r="N28" s="116">
        <v>3402</v>
      </c>
      <c r="O28" s="113">
        <f t="shared" si="2"/>
        <v>100</v>
      </c>
      <c r="P28" s="178">
        <f>O28</f>
        <v>100</v>
      </c>
      <c r="Q28" s="177"/>
    </row>
    <row r="29" spans="1:17" ht="12.75">
      <c r="A29" s="100">
        <v>5</v>
      </c>
      <c r="B29" s="115" t="s">
        <v>219</v>
      </c>
      <c r="C29" s="108">
        <v>10.99</v>
      </c>
      <c r="D29" s="116">
        <v>26</v>
      </c>
      <c r="E29" s="117">
        <f>2000+37.5+45+2*75+250+1000+560+250+300+150+250+320+250+160+3*37.5+75+2*37.5+25+45+25+50+50+75+75+3*37.5</f>
        <v>6442.5</v>
      </c>
      <c r="F29" s="107">
        <v>29.632</v>
      </c>
      <c r="G29" s="116">
        <v>24</v>
      </c>
      <c r="H29" s="116">
        <f t="shared" si="0"/>
        <v>2191</v>
      </c>
      <c r="I29" s="116">
        <f>(J29+K29)/0.9425</f>
        <v>976880.9902740936</v>
      </c>
      <c r="J29" s="118">
        <f>2563895/3</f>
        <v>854631.6666666666</v>
      </c>
      <c r="K29" s="118">
        <f>198236/3</f>
        <v>66078.66666666667</v>
      </c>
      <c r="L29" s="119">
        <f t="shared" si="1"/>
        <v>5.74999999999999</v>
      </c>
      <c r="M29" s="116">
        <f>N29</f>
        <v>2215</v>
      </c>
      <c r="N29" s="116">
        <v>2215</v>
      </c>
      <c r="O29" s="113">
        <f t="shared" si="2"/>
        <v>100</v>
      </c>
      <c r="P29" s="178">
        <f>O29</f>
        <v>100</v>
      </c>
      <c r="Q29" s="177"/>
    </row>
    <row r="30" spans="1:18" ht="12.75">
      <c r="A30" s="100">
        <v>6</v>
      </c>
      <c r="B30" s="115" t="s">
        <v>224</v>
      </c>
      <c r="C30" s="107">
        <v>11.978</v>
      </c>
      <c r="D30" s="116">
        <v>16</v>
      </c>
      <c r="E30" s="117">
        <f>50+50+100+100+75+100+25+50+50+25+37.5+160+25+50+250+2*37.5</f>
        <v>1222.5</v>
      </c>
      <c r="F30" s="107">
        <v>20.242</v>
      </c>
      <c r="G30" s="116">
        <v>3</v>
      </c>
      <c r="H30" s="116">
        <f>N30-G30</f>
        <v>1309</v>
      </c>
      <c r="I30" s="116">
        <f>(J30+K30)/0.94</f>
        <v>241170.56737588655</v>
      </c>
      <c r="J30" s="118">
        <f>642532/3</f>
        <v>214177.33333333334</v>
      </c>
      <c r="K30" s="118">
        <f>37569/3</f>
        <v>12523</v>
      </c>
      <c r="L30" s="119">
        <f>(I30-J30-K30)/I30*100</f>
        <v>6.0000000000000036</v>
      </c>
      <c r="M30" s="116">
        <v>1321</v>
      </c>
      <c r="N30" s="116">
        <v>1312</v>
      </c>
      <c r="O30" s="111">
        <f>N30/M30*100</f>
        <v>99.31869795609387</v>
      </c>
      <c r="P30" s="180">
        <f>(N30+Q30)/M30*100</f>
        <v>100</v>
      </c>
      <c r="Q30" s="177">
        <v>9</v>
      </c>
      <c r="R30" s="446"/>
    </row>
    <row r="31" spans="1:18" ht="12.75">
      <c r="A31" s="100">
        <v>7</v>
      </c>
      <c r="B31" s="115" t="s">
        <v>223</v>
      </c>
      <c r="C31" s="108">
        <v>13.69</v>
      </c>
      <c r="D31" s="116">
        <v>21</v>
      </c>
      <c r="E31" s="117">
        <f>2*37.5+45+2*75+100+25+50+2*37.5+25+50+25+50+25+25+25+75+37.5+150+75+320+37.5+25</f>
        <v>1465</v>
      </c>
      <c r="F31" s="107">
        <v>15.228</v>
      </c>
      <c r="G31" s="116">
        <v>4</v>
      </c>
      <c r="H31" s="116">
        <f>N31-G31</f>
        <v>1430</v>
      </c>
      <c r="I31" s="116">
        <f>(J31+K31)/0.939</f>
        <v>280052.5381611644</v>
      </c>
      <c r="J31" s="118">
        <f>749256/3</f>
        <v>249752</v>
      </c>
      <c r="K31" s="118">
        <f>39652/3</f>
        <v>13217.333333333334</v>
      </c>
      <c r="L31" s="119">
        <f>(I31-J31-K31)/I31*100</f>
        <v>6.100000000000007</v>
      </c>
      <c r="M31" s="116">
        <v>1437</v>
      </c>
      <c r="N31" s="116">
        <v>1434</v>
      </c>
      <c r="O31" s="111">
        <f>N31/M31*100</f>
        <v>99.79123173277662</v>
      </c>
      <c r="P31" s="180">
        <f>(N31+Q31)/M31*100</f>
        <v>100</v>
      </c>
      <c r="Q31" s="177">
        <v>3</v>
      </c>
      <c r="R31" s="446"/>
    </row>
    <row r="32" spans="1:17" ht="12.75">
      <c r="A32" s="100">
        <v>8</v>
      </c>
      <c r="B32" s="115" t="s">
        <v>220</v>
      </c>
      <c r="C32" s="107">
        <v>10.715</v>
      </c>
      <c r="D32" s="116">
        <v>37</v>
      </c>
      <c r="E32" s="117">
        <f>25+3*25+3*15+250+100+250+2*37.5+3*25+75+37.5+37.5+75+250+75+25+2*37.5+50+50+75+150+75+25+45+75+25+250+250+150+75+160+150+160+3*37.5+75+150+180+50</f>
        <v>3877.5</v>
      </c>
      <c r="F32" s="107">
        <v>28.533</v>
      </c>
      <c r="G32" s="116">
        <v>90</v>
      </c>
      <c r="H32" s="116">
        <f t="shared" si="0"/>
        <v>1630</v>
      </c>
      <c r="I32" s="116">
        <f>(J32+K32)/0.9434</f>
        <v>694266.1296021482</v>
      </c>
      <c r="J32" s="118">
        <f>1862547/3</f>
        <v>620849</v>
      </c>
      <c r="K32" s="118">
        <f>102365/3</f>
        <v>34121.666666666664</v>
      </c>
      <c r="L32" s="119">
        <f t="shared" si="1"/>
        <v>5.659999999999992</v>
      </c>
      <c r="M32" s="116">
        <f>N32</f>
        <v>1720</v>
      </c>
      <c r="N32" s="116">
        <v>1720</v>
      </c>
      <c r="O32" s="113">
        <f t="shared" si="2"/>
        <v>100</v>
      </c>
      <c r="P32" s="178">
        <f>O32</f>
        <v>100</v>
      </c>
      <c r="Q32" s="177"/>
    </row>
    <row r="33" spans="1:18" ht="12.75">
      <c r="A33" s="100">
        <v>9</v>
      </c>
      <c r="B33" s="115" t="s">
        <v>221</v>
      </c>
      <c r="C33" s="107">
        <v>28.492</v>
      </c>
      <c r="D33" s="116">
        <v>26</v>
      </c>
      <c r="E33" s="117">
        <f>37.5+150+75+25+2*37.5+25+3*37.5+75+37.5+37.5+45+400+320+320+2*37.5+75+200+75+75+100+2*75+30+100+2*75+100+15</f>
        <v>2880</v>
      </c>
      <c r="F33" s="107">
        <v>21.786</v>
      </c>
      <c r="G33" s="116">
        <v>74</v>
      </c>
      <c r="H33" s="116">
        <f t="shared" si="0"/>
        <v>2165</v>
      </c>
      <c r="I33" s="116">
        <f>(J33+K33)/0.9457</f>
        <v>496917.62715448876</v>
      </c>
      <c r="J33" s="118">
        <f>1324569/3</f>
        <v>441523</v>
      </c>
      <c r="K33" s="118">
        <f>85236/3</f>
        <v>28412</v>
      </c>
      <c r="L33" s="119">
        <f t="shared" si="1"/>
        <v>5.430000000000003</v>
      </c>
      <c r="M33" s="116">
        <v>2251</v>
      </c>
      <c r="N33" s="116">
        <v>2239</v>
      </c>
      <c r="O33" s="111">
        <f t="shared" si="2"/>
        <v>99.46690359840072</v>
      </c>
      <c r="P33" s="180">
        <f>(N33+Q33)/M33*100</f>
        <v>100</v>
      </c>
      <c r="Q33" s="177">
        <v>12</v>
      </c>
      <c r="R33" s="446"/>
    </row>
    <row r="34" spans="1:16" ht="21" customHeight="1">
      <c r="A34" s="83" t="s">
        <v>168</v>
      </c>
      <c r="B34" s="121" t="s">
        <v>169</v>
      </c>
      <c r="C34" s="107"/>
      <c r="D34" s="116"/>
      <c r="E34" s="117"/>
      <c r="F34" s="107"/>
      <c r="G34" s="116"/>
      <c r="H34" s="116"/>
      <c r="I34" s="116"/>
      <c r="J34" s="118"/>
      <c r="K34" s="118"/>
      <c r="L34" s="122"/>
      <c r="M34" s="116"/>
      <c r="N34" s="116"/>
      <c r="O34" s="107"/>
      <c r="P34" s="163"/>
    </row>
    <row r="35" spans="1:16" ht="16.5" customHeight="1">
      <c r="A35" s="83">
        <v>3</v>
      </c>
      <c r="B35" s="75" t="s">
        <v>12</v>
      </c>
      <c r="C35" s="107"/>
      <c r="D35" s="116"/>
      <c r="E35" s="117"/>
      <c r="F35" s="107"/>
      <c r="G35" s="116"/>
      <c r="H35" s="116"/>
      <c r="I35" s="116"/>
      <c r="J35" s="118"/>
      <c r="K35" s="118"/>
      <c r="L35" s="122"/>
      <c r="M35" s="116"/>
      <c r="N35" s="116"/>
      <c r="O35" s="107"/>
      <c r="P35" s="163"/>
    </row>
    <row r="36" spans="1:18" ht="16.5" customHeight="1">
      <c r="A36" s="100">
        <v>1</v>
      </c>
      <c r="B36" s="124" t="s">
        <v>357</v>
      </c>
      <c r="C36" s="125">
        <f>24.443+3.433</f>
        <v>27.876</v>
      </c>
      <c r="D36" s="62">
        <f>30+8</f>
        <v>38</v>
      </c>
      <c r="E36" s="187">
        <f>2220+840</f>
        <v>3060</v>
      </c>
      <c r="F36" s="125">
        <f>38.834+6.279</f>
        <v>45.113</v>
      </c>
      <c r="G36" s="192">
        <f>424+123</f>
        <v>547</v>
      </c>
      <c r="H36" s="127">
        <f>1676+77</f>
        <v>1753</v>
      </c>
      <c r="I36" s="127">
        <f>352544.491525424+27080</f>
        <v>379624.491525424</v>
      </c>
      <c r="J36" s="127">
        <f>207129+6167</f>
        <v>213296</v>
      </c>
      <c r="K36" s="127">
        <f>125673+18976</f>
        <v>144649</v>
      </c>
      <c r="L36" s="119">
        <f>(I36-J36-K36)/I36*100</f>
        <v>5.710772621205367</v>
      </c>
      <c r="M36" s="62">
        <v>1978</v>
      </c>
      <c r="N36" s="62">
        <v>1978</v>
      </c>
      <c r="O36" s="113">
        <f aca="true" t="shared" si="3" ref="O36:O51">N36/M36*100</f>
        <v>100</v>
      </c>
      <c r="P36" s="178">
        <f aca="true" t="shared" si="4" ref="P36:P50">O36</f>
        <v>100</v>
      </c>
      <c r="R36" s="446"/>
    </row>
    <row r="37" spans="1:18" ht="16.5" customHeight="1">
      <c r="A37" s="100">
        <v>2</v>
      </c>
      <c r="B37" s="124" t="s">
        <v>356</v>
      </c>
      <c r="C37" s="125">
        <v>17.97</v>
      </c>
      <c r="D37" s="62">
        <f>18+3</f>
        <v>21</v>
      </c>
      <c r="E37" s="187">
        <f>2402.5+260</f>
        <v>2662.5</v>
      </c>
      <c r="F37" s="125">
        <f>43.64+3.704</f>
        <v>47.344</v>
      </c>
      <c r="G37" s="192">
        <f>423+57</f>
        <v>480</v>
      </c>
      <c r="H37" s="127">
        <f>1675+55</f>
        <v>1730</v>
      </c>
      <c r="I37" s="127">
        <f>249877.766069547+14023</f>
        <v>263900.76606954704</v>
      </c>
      <c r="J37" s="127">
        <f>159530+7385</f>
        <v>166915</v>
      </c>
      <c r="K37" s="127">
        <f>77604+5615</f>
        <v>83219</v>
      </c>
      <c r="L37" s="119">
        <f>(I37-J37-K37)/I37*100</f>
        <v>5.216644981590928</v>
      </c>
      <c r="M37" s="62">
        <v>2377</v>
      </c>
      <c r="N37" s="62">
        <v>2370</v>
      </c>
      <c r="O37" s="111">
        <f t="shared" si="3"/>
        <v>99.70551114850652</v>
      </c>
      <c r="P37" s="157">
        <f t="shared" si="4"/>
        <v>99.70551114850652</v>
      </c>
      <c r="R37" s="446"/>
    </row>
    <row r="38" spans="1:18" ht="16.5" customHeight="1">
      <c r="A38" s="100">
        <v>3</v>
      </c>
      <c r="B38" s="124" t="s">
        <v>349</v>
      </c>
      <c r="C38" s="125">
        <f>26.155+18.276</f>
        <v>44.431</v>
      </c>
      <c r="D38" s="62">
        <f>44+29</f>
        <v>73</v>
      </c>
      <c r="E38" s="187">
        <f>2637.5+3855</f>
        <v>6492.5</v>
      </c>
      <c r="F38" s="125">
        <f>34.777+18.981</f>
        <v>53.758</v>
      </c>
      <c r="G38" s="124">
        <f>43+45</f>
        <v>88</v>
      </c>
      <c r="H38" s="127">
        <f>3153+866</f>
        <v>4019</v>
      </c>
      <c r="I38" s="127">
        <f>4808028.60169492+140937</f>
        <v>4948965.60169492</v>
      </c>
      <c r="J38" s="127">
        <f>526161+116475</f>
        <v>642636</v>
      </c>
      <c r="K38" s="127">
        <f>4012618+16242</f>
        <v>4028860</v>
      </c>
      <c r="L38" s="119">
        <f>(I38-J38-K38)/I38*100</f>
        <v>5.606618110255048</v>
      </c>
      <c r="M38" s="62">
        <v>6442</v>
      </c>
      <c r="N38" s="62">
        <v>6433</v>
      </c>
      <c r="O38" s="111">
        <f t="shared" si="3"/>
        <v>99.8602918348339</v>
      </c>
      <c r="P38" s="157">
        <f t="shared" si="4"/>
        <v>99.8602918348339</v>
      </c>
      <c r="R38" s="446"/>
    </row>
    <row r="39" spans="1:18" ht="16.5" customHeight="1">
      <c r="A39" s="100">
        <v>4</v>
      </c>
      <c r="B39" s="124" t="s">
        <v>354</v>
      </c>
      <c r="C39" s="125">
        <v>8.566</v>
      </c>
      <c r="D39" s="124">
        <v>20</v>
      </c>
      <c r="E39" s="190">
        <v>2280</v>
      </c>
      <c r="F39" s="191">
        <v>28.886000000000006</v>
      </c>
      <c r="G39" s="124">
        <v>53</v>
      </c>
      <c r="H39" s="127">
        <v>2981</v>
      </c>
      <c r="I39" s="127">
        <v>687477.9411764706</v>
      </c>
      <c r="J39" s="127">
        <v>443290</v>
      </c>
      <c r="K39" s="127">
        <v>211189</v>
      </c>
      <c r="L39" s="189">
        <v>4.8</v>
      </c>
      <c r="M39" s="62">
        <v>2646</v>
      </c>
      <c r="N39" s="62">
        <v>2646</v>
      </c>
      <c r="O39" s="113">
        <f t="shared" si="3"/>
        <v>100</v>
      </c>
      <c r="P39" s="178">
        <f t="shared" si="4"/>
        <v>100</v>
      </c>
      <c r="R39" s="446"/>
    </row>
    <row r="40" spans="1:18" ht="16.5" customHeight="1">
      <c r="A40" s="100">
        <v>5</v>
      </c>
      <c r="B40" s="124" t="s">
        <v>345</v>
      </c>
      <c r="C40" s="125">
        <f>10.244+1.209</f>
        <v>11.453</v>
      </c>
      <c r="D40" s="62">
        <f>39+3</f>
        <v>42</v>
      </c>
      <c r="E40" s="62">
        <f>4640+460</f>
        <v>5100</v>
      </c>
      <c r="F40" s="125">
        <f>57.842+4.239</f>
        <v>62.080999999999996</v>
      </c>
      <c r="G40" s="124">
        <f>150+8</f>
        <v>158</v>
      </c>
      <c r="H40" s="127">
        <f>8439+405</f>
        <v>8844</v>
      </c>
      <c r="I40" s="127">
        <f>1629281.67539267+122227</f>
        <v>1751508.67539267</v>
      </c>
      <c r="J40" s="127">
        <f>639038+107000</f>
        <v>746038</v>
      </c>
      <c r="K40" s="127">
        <f>916926+5989</f>
        <v>922915</v>
      </c>
      <c r="L40" s="119">
        <f>(I40-J40-K40)/I40*100</f>
        <v>4.7134037388745424</v>
      </c>
      <c r="M40" s="62">
        <v>12575</v>
      </c>
      <c r="N40" s="62">
        <v>12575</v>
      </c>
      <c r="O40" s="113">
        <f t="shared" si="3"/>
        <v>100</v>
      </c>
      <c r="P40" s="178">
        <f t="shared" si="4"/>
        <v>100</v>
      </c>
      <c r="R40" s="446"/>
    </row>
    <row r="41" spans="1:18" ht="16.5" customHeight="1">
      <c r="A41" s="100">
        <v>6</v>
      </c>
      <c r="B41" s="124" t="s">
        <v>344</v>
      </c>
      <c r="C41" s="125">
        <v>5.873</v>
      </c>
      <c r="D41" s="62">
        <v>27</v>
      </c>
      <c r="E41" s="187">
        <v>5072.5</v>
      </c>
      <c r="F41" s="125">
        <v>32.973</v>
      </c>
      <c r="G41" s="124">
        <v>220</v>
      </c>
      <c r="H41" s="127">
        <v>6649</v>
      </c>
      <c r="I41" s="127">
        <v>1889812.88981289</v>
      </c>
      <c r="J41" s="127">
        <v>1250000</v>
      </c>
      <c r="K41" s="127">
        <v>568000</v>
      </c>
      <c r="L41" s="189">
        <v>3.8</v>
      </c>
      <c r="M41" s="62">
        <v>10035</v>
      </c>
      <c r="N41" s="62">
        <v>10035</v>
      </c>
      <c r="O41" s="113">
        <f t="shared" si="3"/>
        <v>100</v>
      </c>
      <c r="P41" s="178">
        <f t="shared" si="4"/>
        <v>100</v>
      </c>
      <c r="R41" s="446"/>
    </row>
    <row r="42" spans="1:18" ht="16.5" customHeight="1">
      <c r="A42" s="100">
        <v>7</v>
      </c>
      <c r="B42" s="124" t="s">
        <v>352</v>
      </c>
      <c r="C42" s="125">
        <v>7.167000000000001</v>
      </c>
      <c r="D42" s="62">
        <v>23</v>
      </c>
      <c r="E42" s="187">
        <v>2827</v>
      </c>
      <c r="F42" s="125">
        <v>35.43150000000001</v>
      </c>
      <c r="G42" s="124">
        <v>58</v>
      </c>
      <c r="H42" s="127">
        <v>2955</v>
      </c>
      <c r="I42" s="127">
        <v>1344659.282700422</v>
      </c>
      <c r="J42" s="127">
        <v>460432</v>
      </c>
      <c r="K42" s="127">
        <v>814305</v>
      </c>
      <c r="L42" s="189">
        <v>5.2</v>
      </c>
      <c r="M42" s="62">
        <v>3213</v>
      </c>
      <c r="N42" s="62">
        <v>3213</v>
      </c>
      <c r="O42" s="113">
        <f t="shared" si="3"/>
        <v>100</v>
      </c>
      <c r="P42" s="178">
        <f t="shared" si="4"/>
        <v>100</v>
      </c>
      <c r="R42" s="446"/>
    </row>
    <row r="43" spans="1:18" ht="16.5" customHeight="1">
      <c r="A43" s="100">
        <v>8</v>
      </c>
      <c r="B43" s="124" t="s">
        <v>346</v>
      </c>
      <c r="C43" s="125">
        <v>4.255</v>
      </c>
      <c r="D43" s="62">
        <v>17</v>
      </c>
      <c r="E43" s="187">
        <v>3272.5</v>
      </c>
      <c r="F43" s="125">
        <v>29.925</v>
      </c>
      <c r="G43" s="124">
        <v>152</v>
      </c>
      <c r="H43" s="127">
        <v>4652</v>
      </c>
      <c r="I43" s="127">
        <v>1061114.2857142857</v>
      </c>
      <c r="J43" s="127">
        <v>672473</v>
      </c>
      <c r="K43" s="127">
        <v>330280</v>
      </c>
      <c r="L43" s="189">
        <v>5.5</v>
      </c>
      <c r="M43" s="62">
        <v>4508</v>
      </c>
      <c r="N43" s="62">
        <v>4508</v>
      </c>
      <c r="O43" s="113">
        <f t="shared" si="3"/>
        <v>100</v>
      </c>
      <c r="P43" s="178">
        <f t="shared" si="4"/>
        <v>100</v>
      </c>
      <c r="R43" s="446"/>
    </row>
    <row r="44" spans="1:18" ht="16.5" customHeight="1">
      <c r="A44" s="100">
        <v>9</v>
      </c>
      <c r="B44" s="124" t="s">
        <v>353</v>
      </c>
      <c r="C44" s="125">
        <v>6.308</v>
      </c>
      <c r="D44" s="62">
        <v>16</v>
      </c>
      <c r="E44" s="187">
        <v>1302.5</v>
      </c>
      <c r="F44" s="125">
        <v>21.565</v>
      </c>
      <c r="G44" s="124">
        <v>35</v>
      </c>
      <c r="H44" s="127">
        <v>2813</v>
      </c>
      <c r="I44" s="127">
        <v>699840.5036726128</v>
      </c>
      <c r="J44" s="127">
        <v>399621</v>
      </c>
      <c r="K44" s="127">
        <v>267327</v>
      </c>
      <c r="L44" s="189">
        <v>4.7</v>
      </c>
      <c r="M44" s="62">
        <v>2787</v>
      </c>
      <c r="N44" s="62">
        <v>2787</v>
      </c>
      <c r="O44" s="113">
        <f t="shared" si="3"/>
        <v>100</v>
      </c>
      <c r="P44" s="178">
        <f t="shared" si="4"/>
        <v>100</v>
      </c>
      <c r="R44" s="446"/>
    </row>
    <row r="45" spans="1:18" ht="16.5" customHeight="1">
      <c r="A45" s="100">
        <v>10</v>
      </c>
      <c r="B45" s="124" t="s">
        <v>350</v>
      </c>
      <c r="C45" s="125">
        <v>5.46</v>
      </c>
      <c r="D45" s="62">
        <v>25</v>
      </c>
      <c r="E45" s="187">
        <v>1850</v>
      </c>
      <c r="F45" s="125">
        <v>22.392000000000003</v>
      </c>
      <c r="G45" s="124">
        <v>17</v>
      </c>
      <c r="H45" s="127">
        <v>2593</v>
      </c>
      <c r="I45" s="127">
        <v>546421.6614090431</v>
      </c>
      <c r="J45" s="127">
        <v>367899</v>
      </c>
      <c r="K45" s="127">
        <v>151748</v>
      </c>
      <c r="L45" s="189">
        <v>4.9</v>
      </c>
      <c r="M45" s="62">
        <v>2660</v>
      </c>
      <c r="N45" s="62">
        <v>2660</v>
      </c>
      <c r="O45" s="113">
        <f t="shared" si="3"/>
        <v>100</v>
      </c>
      <c r="P45" s="178">
        <f t="shared" si="4"/>
        <v>100</v>
      </c>
      <c r="R45" s="446"/>
    </row>
    <row r="46" spans="1:18" ht="16.5" customHeight="1">
      <c r="A46" s="100">
        <v>11</v>
      </c>
      <c r="B46" s="124" t="s">
        <v>355</v>
      </c>
      <c r="C46" s="125">
        <v>3.336</v>
      </c>
      <c r="D46" s="62">
        <v>21</v>
      </c>
      <c r="E46" s="187">
        <v>1925</v>
      </c>
      <c r="F46" s="125">
        <v>17.931</v>
      </c>
      <c r="G46" s="124">
        <v>12</v>
      </c>
      <c r="H46" s="127">
        <v>1198</v>
      </c>
      <c r="I46" s="127">
        <v>573819.7064989518</v>
      </c>
      <c r="J46" s="127">
        <v>309861</v>
      </c>
      <c r="K46" s="127">
        <v>237563</v>
      </c>
      <c r="L46" s="189">
        <v>4.6</v>
      </c>
      <c r="M46" s="62">
        <v>2552</v>
      </c>
      <c r="N46" s="62">
        <v>2552</v>
      </c>
      <c r="O46" s="113">
        <f t="shared" si="3"/>
        <v>100</v>
      </c>
      <c r="P46" s="178">
        <f t="shared" si="4"/>
        <v>100</v>
      </c>
      <c r="R46" s="446"/>
    </row>
    <row r="47" spans="1:18" ht="16.5" customHeight="1">
      <c r="A47" s="100">
        <v>12</v>
      </c>
      <c r="B47" s="124" t="s">
        <v>348</v>
      </c>
      <c r="C47" s="125">
        <v>4.51</v>
      </c>
      <c r="D47" s="62">
        <v>14</v>
      </c>
      <c r="E47" s="187">
        <v>1475</v>
      </c>
      <c r="F47" s="125">
        <v>21.64</v>
      </c>
      <c r="G47" s="124">
        <v>18</v>
      </c>
      <c r="H47" s="127">
        <v>2393</v>
      </c>
      <c r="I47" s="127">
        <v>747300.518134715</v>
      </c>
      <c r="J47" s="127">
        <v>625290</v>
      </c>
      <c r="K47" s="127">
        <v>95855</v>
      </c>
      <c r="L47" s="189">
        <v>3.5</v>
      </c>
      <c r="M47" s="62">
        <v>3465</v>
      </c>
      <c r="N47" s="62">
        <v>3465</v>
      </c>
      <c r="O47" s="113">
        <f t="shared" si="3"/>
        <v>100</v>
      </c>
      <c r="P47" s="178">
        <f t="shared" si="4"/>
        <v>100</v>
      </c>
      <c r="R47" s="446"/>
    </row>
    <row r="48" spans="1:18" ht="16.5" customHeight="1">
      <c r="A48" s="100">
        <v>13</v>
      </c>
      <c r="B48" s="124" t="s">
        <v>347</v>
      </c>
      <c r="C48" s="125">
        <v>6.274</v>
      </c>
      <c r="D48" s="124">
        <v>18</v>
      </c>
      <c r="E48" s="124">
        <v>2340</v>
      </c>
      <c r="F48" s="125">
        <v>25.157999999999994</v>
      </c>
      <c r="G48" s="124">
        <v>25</v>
      </c>
      <c r="H48" s="127">
        <v>1976</v>
      </c>
      <c r="I48" s="127">
        <v>397265.11134676565</v>
      </c>
      <c r="J48" s="127">
        <v>275871</v>
      </c>
      <c r="K48" s="127">
        <v>98750</v>
      </c>
      <c r="L48" s="189">
        <v>5.7</v>
      </c>
      <c r="M48" s="62">
        <v>1404</v>
      </c>
      <c r="N48" s="62">
        <v>1404</v>
      </c>
      <c r="O48" s="113">
        <f t="shared" si="3"/>
        <v>100</v>
      </c>
      <c r="P48" s="178">
        <f t="shared" si="4"/>
        <v>100</v>
      </c>
      <c r="R48" s="446"/>
    </row>
    <row r="49" spans="1:18" ht="16.5" customHeight="1">
      <c r="A49" s="100">
        <v>14</v>
      </c>
      <c r="B49" s="124" t="s">
        <v>351</v>
      </c>
      <c r="C49" s="125">
        <v>24.592</v>
      </c>
      <c r="D49" s="62">
        <v>26</v>
      </c>
      <c r="E49" s="187">
        <v>1350</v>
      </c>
      <c r="F49" s="125">
        <v>19.326</v>
      </c>
      <c r="G49" s="124">
        <v>11</v>
      </c>
      <c r="H49" s="127">
        <v>1439</v>
      </c>
      <c r="I49" s="127">
        <v>770578.5036880928</v>
      </c>
      <c r="J49" s="127">
        <v>200474</v>
      </c>
      <c r="K49" s="127">
        <v>530805</v>
      </c>
      <c r="L49" s="189">
        <v>5.1</v>
      </c>
      <c r="M49" s="62">
        <v>1547</v>
      </c>
      <c r="N49" s="62">
        <v>1547</v>
      </c>
      <c r="O49" s="113">
        <f t="shared" si="3"/>
        <v>100</v>
      </c>
      <c r="P49" s="178">
        <f t="shared" si="4"/>
        <v>100</v>
      </c>
      <c r="R49" s="446"/>
    </row>
    <row r="50" spans="1:18" ht="15.75" customHeight="1">
      <c r="A50" s="100">
        <v>15</v>
      </c>
      <c r="B50" s="78" t="s">
        <v>305</v>
      </c>
      <c r="C50" s="193">
        <f>29.7305+5</f>
        <v>34.7305</v>
      </c>
      <c r="D50" s="78">
        <v>47</v>
      </c>
      <c r="E50" s="78">
        <v>5750</v>
      </c>
      <c r="F50" s="193">
        <v>43.3669</v>
      </c>
      <c r="G50" s="78">
        <v>334</v>
      </c>
      <c r="H50" s="194">
        <f>2700-334</f>
        <v>2366</v>
      </c>
      <c r="I50" s="194">
        <f>1699360/3</f>
        <v>566453.3333333334</v>
      </c>
      <c r="J50" s="194">
        <f>1595836/3-K50</f>
        <v>432141.3333333334</v>
      </c>
      <c r="K50" s="194">
        <f>2815+793+817+2806+3220+3358+13562+5618+8526+6922+14871+15794+20702</f>
        <v>99804</v>
      </c>
      <c r="L50" s="79">
        <f>(I50-J50-K50)*100/I50</f>
        <v>6.091940495245268</v>
      </c>
      <c r="M50" s="62">
        <v>2700</v>
      </c>
      <c r="N50" s="62">
        <v>2700</v>
      </c>
      <c r="O50" s="113">
        <f t="shared" si="3"/>
        <v>100</v>
      </c>
      <c r="P50" s="178">
        <f t="shared" si="4"/>
        <v>100</v>
      </c>
      <c r="R50" s="446"/>
    </row>
    <row r="51" spans="1:18" ht="14.25" customHeight="1">
      <c r="A51" s="100">
        <v>16</v>
      </c>
      <c r="B51" s="78" t="s">
        <v>304</v>
      </c>
      <c r="C51" s="193">
        <f>9.2984+6.406+12</f>
        <v>27.7044</v>
      </c>
      <c r="D51" s="78">
        <v>51</v>
      </c>
      <c r="E51" s="78">
        <v>8177.5</v>
      </c>
      <c r="F51" s="193">
        <v>38.5559</v>
      </c>
      <c r="G51" s="78">
        <v>201</v>
      </c>
      <c r="H51" s="194">
        <f>2039-201</f>
        <v>1838</v>
      </c>
      <c r="I51" s="194">
        <f>1255440/3</f>
        <v>418480</v>
      </c>
      <c r="J51" s="194">
        <f>1188275/3-K51</f>
        <v>348062.6666666667</v>
      </c>
      <c r="K51" s="194">
        <f>11161+11574+4277+9930+6879+4208</f>
        <v>48029</v>
      </c>
      <c r="L51" s="79">
        <f>(I51-J51-K51)*100/I51</f>
        <v>5.349917160517423</v>
      </c>
      <c r="M51" s="62">
        <v>2112</v>
      </c>
      <c r="N51" s="62">
        <v>2076</v>
      </c>
      <c r="O51" s="111">
        <f t="shared" si="3"/>
        <v>98.29545454545455</v>
      </c>
      <c r="P51" s="180">
        <f>(N51+Q51)/M51*100</f>
        <v>100</v>
      </c>
      <c r="Q51" s="120">
        <v>36</v>
      </c>
      <c r="R51" s="446">
        <f>M51-N51</f>
        <v>36</v>
      </c>
    </row>
    <row r="52" spans="1:16" ht="15.75" customHeight="1">
      <c r="A52" s="83">
        <v>4</v>
      </c>
      <c r="B52" s="123" t="s">
        <v>27</v>
      </c>
      <c r="C52" s="107"/>
      <c r="D52" s="116"/>
      <c r="E52" s="117"/>
      <c r="F52" s="107"/>
      <c r="G52" s="116"/>
      <c r="H52" s="116"/>
      <c r="I52" s="116"/>
      <c r="J52" s="118"/>
      <c r="K52" s="118"/>
      <c r="L52" s="122"/>
      <c r="M52" s="116"/>
      <c r="N52" s="116"/>
      <c r="O52" s="107"/>
      <c r="P52" s="163"/>
    </row>
    <row r="53" spans="1:18" ht="12.75">
      <c r="A53" s="100">
        <v>1</v>
      </c>
      <c r="B53" s="124" t="s">
        <v>360</v>
      </c>
      <c r="C53" s="125">
        <v>10.5189</v>
      </c>
      <c r="D53" s="62">
        <v>22</v>
      </c>
      <c r="E53" s="187">
        <v>2185</v>
      </c>
      <c r="F53" s="125">
        <v>35.64200000000001</v>
      </c>
      <c r="G53" s="124">
        <v>56</v>
      </c>
      <c r="H53" s="127">
        <v>3101</v>
      </c>
      <c r="I53" s="127">
        <v>954580.1687763714</v>
      </c>
      <c r="J53" s="127">
        <v>502759</v>
      </c>
      <c r="K53" s="127">
        <v>402183</v>
      </c>
      <c r="L53" s="189">
        <v>5.2</v>
      </c>
      <c r="M53" s="62">
        <v>5509</v>
      </c>
      <c r="N53" s="62">
        <v>5507</v>
      </c>
      <c r="O53" s="128">
        <f>N53/M53*100</f>
        <v>99.96369577055727</v>
      </c>
      <c r="P53" s="178">
        <f>O53</f>
        <v>99.96369577055727</v>
      </c>
      <c r="R53" s="446"/>
    </row>
    <row r="54" spans="1:18" ht="12.75">
      <c r="A54" s="100">
        <v>2</v>
      </c>
      <c r="B54" s="124" t="s">
        <v>358</v>
      </c>
      <c r="C54" s="125">
        <v>30.276</v>
      </c>
      <c r="D54" s="62">
        <v>46</v>
      </c>
      <c r="E54" s="187">
        <v>2197.5</v>
      </c>
      <c r="F54" s="125">
        <v>56.640225</v>
      </c>
      <c r="G54" s="124">
        <v>35</v>
      </c>
      <c r="H54" s="127">
        <v>3376</v>
      </c>
      <c r="I54" s="127">
        <v>765881.427072403</v>
      </c>
      <c r="J54" s="127">
        <v>325218</v>
      </c>
      <c r="K54" s="127">
        <v>404667</v>
      </c>
      <c r="L54" s="189">
        <v>4.7</v>
      </c>
      <c r="M54" s="62">
        <v>2300</v>
      </c>
      <c r="N54" s="62">
        <v>2277</v>
      </c>
      <c r="O54" s="128">
        <f>N54/M54*100</f>
        <v>99</v>
      </c>
      <c r="P54" s="157">
        <f>O54</f>
        <v>99</v>
      </c>
      <c r="R54" s="446"/>
    </row>
    <row r="55" spans="1:18" ht="12.75">
      <c r="A55" s="100">
        <v>3</v>
      </c>
      <c r="B55" s="124" t="s">
        <v>359</v>
      </c>
      <c r="C55" s="125">
        <v>18.64</v>
      </c>
      <c r="D55" s="62">
        <v>19</v>
      </c>
      <c r="E55" s="187">
        <v>800</v>
      </c>
      <c r="F55" s="125">
        <v>32.367000000000004</v>
      </c>
      <c r="G55" s="124">
        <v>24</v>
      </c>
      <c r="H55" s="127">
        <v>2778</v>
      </c>
      <c r="I55" s="127">
        <v>721606.4171122995</v>
      </c>
      <c r="J55" s="127">
        <v>316297</v>
      </c>
      <c r="K55" s="127">
        <v>358405</v>
      </c>
      <c r="L55" s="189">
        <v>6.5</v>
      </c>
      <c r="M55" s="62">
        <v>2501</v>
      </c>
      <c r="N55" s="62">
        <v>2476</v>
      </c>
      <c r="O55" s="128">
        <f>N55/M55*100</f>
        <v>99.00039984006398</v>
      </c>
      <c r="P55" s="157">
        <f>O55</f>
        <v>99.00039984006398</v>
      </c>
      <c r="R55" s="446"/>
    </row>
    <row r="56" spans="1:18" ht="12.75">
      <c r="A56" s="100">
        <v>4</v>
      </c>
      <c r="B56" s="115" t="s">
        <v>226</v>
      </c>
      <c r="C56" s="107">
        <v>17.516</v>
      </c>
      <c r="D56" s="116">
        <v>17</v>
      </c>
      <c r="E56" s="117">
        <f>150+75+320+3*37.5+150+100+37.5+25+100+100+2*75+25+2*75+25+50+100+50</f>
        <v>1720</v>
      </c>
      <c r="F56" s="107">
        <v>36.963</v>
      </c>
      <c r="G56" s="116">
        <v>2</v>
      </c>
      <c r="H56" s="116">
        <f>N56-G56</f>
        <v>2293</v>
      </c>
      <c r="I56" s="116">
        <f>(J56+K56)/0.9498</f>
        <v>401607.0049835053</v>
      </c>
      <c r="J56" s="118">
        <f>1089652/3</f>
        <v>363217.3333333333</v>
      </c>
      <c r="K56" s="118">
        <f>54687/3</f>
        <v>18229</v>
      </c>
      <c r="L56" s="119">
        <f>(I56-J56-K56)/I56*100</f>
        <v>5.020000000000003</v>
      </c>
      <c r="M56" s="62">
        <v>2295</v>
      </c>
      <c r="N56" s="62">
        <v>2295</v>
      </c>
      <c r="O56" s="113">
        <f aca="true" t="shared" si="5" ref="O56:O62">N56/M56*100</f>
        <v>100</v>
      </c>
      <c r="P56" s="178">
        <f>O56</f>
        <v>100</v>
      </c>
      <c r="R56" s="446"/>
    </row>
    <row r="57" spans="1:18" ht="12.75">
      <c r="A57" s="100">
        <v>5</v>
      </c>
      <c r="B57" s="115" t="s">
        <v>225</v>
      </c>
      <c r="C57" s="107">
        <v>15.175</v>
      </c>
      <c r="D57" s="116">
        <v>30</v>
      </c>
      <c r="E57" s="117">
        <f>37.5+2*37.5+25+37.5+37.5+100+37.5+2*37.5+37.5+2*37.5+75+2*37.5+2*37.5+3*75+50+25+100+37.5+37.5+45+1000+1000+250+25+150+400+75+75+150+320</f>
        <v>4727.5</v>
      </c>
      <c r="F57" s="107">
        <v>28.563</v>
      </c>
      <c r="G57" s="116">
        <v>2</v>
      </c>
      <c r="H57" s="116">
        <f>N57-G57</f>
        <v>1977</v>
      </c>
      <c r="I57" s="116">
        <f>(J57+K57)/0.9425</f>
        <v>411245.62334217504</v>
      </c>
      <c r="J57" s="118">
        <f>1098562/3</f>
        <v>366187.3333333333</v>
      </c>
      <c r="K57" s="118">
        <f>64235/3</f>
        <v>21411.666666666668</v>
      </c>
      <c r="L57" s="119">
        <f>(I57-J57-K57)/I57*100</f>
        <v>5.749999999999997</v>
      </c>
      <c r="M57" s="62">
        <v>1979</v>
      </c>
      <c r="N57" s="62">
        <v>1979</v>
      </c>
      <c r="O57" s="113">
        <f t="shared" si="5"/>
        <v>100</v>
      </c>
      <c r="P57" s="178">
        <f>O57</f>
        <v>100</v>
      </c>
      <c r="R57" s="446"/>
    </row>
    <row r="58" spans="1:18" ht="12.75">
      <c r="A58" s="100">
        <v>6</v>
      </c>
      <c r="B58" s="115" t="s">
        <v>339</v>
      </c>
      <c r="C58" s="186">
        <v>8.152</v>
      </c>
      <c r="D58" s="62">
        <v>14</v>
      </c>
      <c r="E58" s="187">
        <v>1892.5</v>
      </c>
      <c r="F58" s="186">
        <v>22.18</v>
      </c>
      <c r="G58" s="62">
        <v>57</v>
      </c>
      <c r="H58" s="62">
        <v>3325</v>
      </c>
      <c r="I58" s="62">
        <v>4183556</v>
      </c>
      <c r="J58" s="62">
        <v>3295181</v>
      </c>
      <c r="K58" s="62">
        <v>656037</v>
      </c>
      <c r="L58" s="188">
        <f>ROUND((I58-J58-K58)/I58*100,2)</f>
        <v>5.55</v>
      </c>
      <c r="M58" s="62">
        <v>3255</v>
      </c>
      <c r="N58" s="62">
        <v>3240</v>
      </c>
      <c r="O58" s="188">
        <f t="shared" si="5"/>
        <v>99.53917050691244</v>
      </c>
      <c r="P58" s="180">
        <f>(N58+Q58)/M58*100</f>
        <v>100</v>
      </c>
      <c r="Q58" s="198">
        <v>15</v>
      </c>
      <c r="R58" s="446"/>
    </row>
    <row r="59" spans="1:18" ht="12.75">
      <c r="A59" s="100">
        <v>7</v>
      </c>
      <c r="B59" s="115" t="s">
        <v>340</v>
      </c>
      <c r="C59" s="186">
        <v>8.486</v>
      </c>
      <c r="D59" s="62">
        <v>13</v>
      </c>
      <c r="E59" s="187">
        <v>2840</v>
      </c>
      <c r="F59" s="186">
        <v>23.714</v>
      </c>
      <c r="G59" s="62">
        <v>78</v>
      </c>
      <c r="H59" s="62">
        <v>3427</v>
      </c>
      <c r="I59" s="62">
        <v>3651312</v>
      </c>
      <c r="J59" s="62">
        <v>2496085</v>
      </c>
      <c r="K59" s="62">
        <v>824243</v>
      </c>
      <c r="L59" s="188">
        <f>ROUND((I59-J59-K59)/I59*100,2)</f>
        <v>9.06</v>
      </c>
      <c r="M59" s="62">
        <v>2812</v>
      </c>
      <c r="N59" s="62">
        <v>2812</v>
      </c>
      <c r="O59" s="187">
        <f t="shared" si="5"/>
        <v>100</v>
      </c>
      <c r="P59" s="178">
        <f>O59</f>
        <v>100</v>
      </c>
      <c r="R59" s="446"/>
    </row>
    <row r="60" spans="1:18" ht="12.75">
      <c r="A60" s="100">
        <v>8</v>
      </c>
      <c r="B60" s="115" t="s">
        <v>341</v>
      </c>
      <c r="C60" s="186">
        <v>11.098</v>
      </c>
      <c r="D60" s="62">
        <v>23</v>
      </c>
      <c r="E60" s="187">
        <v>4052.5</v>
      </c>
      <c r="F60" s="186">
        <v>31.295</v>
      </c>
      <c r="G60" s="62">
        <v>120</v>
      </c>
      <c r="H60" s="62">
        <v>4465</v>
      </c>
      <c r="I60" s="62">
        <v>5960748</v>
      </c>
      <c r="J60" s="62">
        <v>4366298</v>
      </c>
      <c r="K60" s="62">
        <v>1316027</v>
      </c>
      <c r="L60" s="188">
        <f>ROUND((I60-J60-K60)/I60*100,2)</f>
        <v>4.67</v>
      </c>
      <c r="M60" s="62">
        <v>4285</v>
      </c>
      <c r="N60" s="62">
        <v>4285</v>
      </c>
      <c r="O60" s="187">
        <f t="shared" si="5"/>
        <v>100</v>
      </c>
      <c r="P60" s="178">
        <f>O60</f>
        <v>100</v>
      </c>
      <c r="R60" s="446"/>
    </row>
    <row r="61" spans="1:18" ht="12.75">
      <c r="A61" s="100">
        <v>9</v>
      </c>
      <c r="B61" s="115" t="s">
        <v>342</v>
      </c>
      <c r="C61" s="186">
        <v>28.826</v>
      </c>
      <c r="D61" s="62">
        <v>41</v>
      </c>
      <c r="E61" s="187">
        <v>6435</v>
      </c>
      <c r="F61" s="186">
        <v>44.355</v>
      </c>
      <c r="G61" s="62">
        <v>654</v>
      </c>
      <c r="H61" s="62">
        <v>4241</v>
      </c>
      <c r="I61" s="62">
        <v>6530202</v>
      </c>
      <c r="J61" s="62">
        <v>4053854</v>
      </c>
      <c r="K61" s="62">
        <v>2036485</v>
      </c>
      <c r="L61" s="188">
        <f>ROUND((I61-J61-K61)/I61*100,2)</f>
        <v>6.74</v>
      </c>
      <c r="M61" s="62">
        <v>4895</v>
      </c>
      <c r="N61" s="62">
        <v>4895</v>
      </c>
      <c r="O61" s="187">
        <f t="shared" si="5"/>
        <v>100</v>
      </c>
      <c r="P61" s="178">
        <f>O61</f>
        <v>100</v>
      </c>
      <c r="R61" s="446"/>
    </row>
    <row r="62" spans="1:18" ht="12.75">
      <c r="A62" s="100">
        <v>10</v>
      </c>
      <c r="B62" s="115" t="s">
        <v>343</v>
      </c>
      <c r="C62" s="186">
        <v>30.604</v>
      </c>
      <c r="D62" s="62">
        <v>37</v>
      </c>
      <c r="E62" s="187">
        <v>5785</v>
      </c>
      <c r="F62" s="186">
        <v>46.261</v>
      </c>
      <c r="G62" s="62">
        <v>403</v>
      </c>
      <c r="H62" s="62">
        <v>4566</v>
      </c>
      <c r="I62" s="62">
        <v>6815304</v>
      </c>
      <c r="J62" s="62">
        <v>4387947</v>
      </c>
      <c r="K62" s="62">
        <v>1989593</v>
      </c>
      <c r="L62" s="188">
        <f>ROUND((I62-J62-K62)/I62*100,2)</f>
        <v>6.42</v>
      </c>
      <c r="M62" s="62">
        <v>4682</v>
      </c>
      <c r="N62" s="62">
        <v>4682</v>
      </c>
      <c r="O62" s="187">
        <f t="shared" si="5"/>
        <v>100</v>
      </c>
      <c r="P62" s="178">
        <f>O62</f>
        <v>100</v>
      </c>
      <c r="R62" s="446"/>
    </row>
    <row r="63" spans="1:16" ht="12.75">
      <c r="A63" s="83">
        <v>5</v>
      </c>
      <c r="B63" s="123" t="s">
        <v>31</v>
      </c>
      <c r="C63" s="107"/>
      <c r="D63" s="116"/>
      <c r="E63" s="117"/>
      <c r="F63" s="107"/>
      <c r="G63" s="116"/>
      <c r="H63" s="116"/>
      <c r="I63" s="116"/>
      <c r="J63" s="118"/>
      <c r="K63" s="118"/>
      <c r="L63" s="119"/>
      <c r="M63" s="116"/>
      <c r="N63" s="116"/>
      <c r="O63" s="113"/>
      <c r="P63" s="163"/>
    </row>
    <row r="64" spans="1:18" ht="12.75">
      <c r="A64" s="100">
        <v>1</v>
      </c>
      <c r="B64" s="124" t="s">
        <v>292</v>
      </c>
      <c r="C64" s="125">
        <f>55.539+4</f>
        <v>59.539</v>
      </c>
      <c r="D64" s="124">
        <v>40</v>
      </c>
      <c r="E64" s="126">
        <v>4335</v>
      </c>
      <c r="F64" s="125">
        <v>42.1966</v>
      </c>
      <c r="G64" s="124">
        <v>22</v>
      </c>
      <c r="H64" s="127">
        <v>2840</v>
      </c>
      <c r="I64" s="127">
        <f>1142223/3</f>
        <v>380741</v>
      </c>
      <c r="J64" s="127">
        <f>1084521/3-K64</f>
        <v>336959</v>
      </c>
      <c r="K64" s="127">
        <f>35162-2564-8050</f>
        <v>24548</v>
      </c>
      <c r="L64" s="128">
        <f aca="true" t="shared" si="6" ref="L64:L71">(I64-J64-K64)*100/I64</f>
        <v>5.051728077617068</v>
      </c>
      <c r="M64" s="62">
        <v>3135</v>
      </c>
      <c r="N64" s="62">
        <v>3120</v>
      </c>
      <c r="O64" s="111">
        <f aca="true" t="shared" si="7" ref="O64:O74">N64/M64*100</f>
        <v>99.52153110047847</v>
      </c>
      <c r="P64" s="178">
        <f>O64</f>
        <v>99.52153110047847</v>
      </c>
      <c r="Q64" s="1"/>
      <c r="R64" s="446"/>
    </row>
    <row r="65" spans="1:18" ht="12.75">
      <c r="A65" s="100">
        <v>2</v>
      </c>
      <c r="B65" s="124" t="s">
        <v>294</v>
      </c>
      <c r="C65" s="125">
        <f>4.675+2.0824+3</f>
        <v>9.7574</v>
      </c>
      <c r="D65" s="124">
        <v>23</v>
      </c>
      <c r="E65" s="126">
        <v>4400</v>
      </c>
      <c r="F65" s="125">
        <v>12.777</v>
      </c>
      <c r="G65" s="124">
        <v>25</v>
      </c>
      <c r="H65" s="127">
        <v>830</v>
      </c>
      <c r="I65" s="127">
        <f>618623/3</f>
        <v>206207.66666666666</v>
      </c>
      <c r="J65" s="127">
        <f>588722/3-K65</f>
        <v>169488.66666666666</v>
      </c>
      <c r="K65" s="127">
        <f>8114+3484+13683+550+921</f>
        <v>26752</v>
      </c>
      <c r="L65" s="128">
        <f t="shared" si="6"/>
        <v>4.833476931830857</v>
      </c>
      <c r="M65" s="62">
        <v>1003</v>
      </c>
      <c r="N65" s="62">
        <v>1003</v>
      </c>
      <c r="O65" s="111">
        <f t="shared" si="7"/>
        <v>100</v>
      </c>
      <c r="P65" s="178">
        <f>O65</f>
        <v>100</v>
      </c>
      <c r="Q65" s="1"/>
      <c r="R65" s="446"/>
    </row>
    <row r="66" spans="1:18" ht="12.75">
      <c r="A66" s="100">
        <v>3</v>
      </c>
      <c r="B66" s="124" t="s">
        <v>295</v>
      </c>
      <c r="C66" s="125">
        <f>3.66+17.141+5.92+6.317+2</f>
        <v>35.038</v>
      </c>
      <c r="D66" s="124">
        <f>63+12</f>
        <v>75</v>
      </c>
      <c r="E66" s="126">
        <v>4625</v>
      </c>
      <c r="F66" s="125">
        <v>28.8136</v>
      </c>
      <c r="G66" s="124">
        <v>54</v>
      </c>
      <c r="H66" s="127">
        <v>2164</v>
      </c>
      <c r="I66" s="127">
        <f>696420/3</f>
        <v>232140</v>
      </c>
      <c r="J66" s="127">
        <f>658194/3-K66</f>
        <v>216011</v>
      </c>
      <c r="K66" s="127">
        <v>3387</v>
      </c>
      <c r="L66" s="128">
        <f t="shared" si="6"/>
        <v>5.488929094511932</v>
      </c>
      <c r="M66" s="62">
        <v>2590</v>
      </c>
      <c r="N66" s="62">
        <v>2590</v>
      </c>
      <c r="O66" s="111">
        <f t="shared" si="7"/>
        <v>100</v>
      </c>
      <c r="P66" s="178">
        <f>O66</f>
        <v>100</v>
      </c>
      <c r="Q66" s="1"/>
      <c r="R66" s="446"/>
    </row>
    <row r="67" spans="1:18" ht="12.75">
      <c r="A67" s="100">
        <v>4</v>
      </c>
      <c r="B67" s="124" t="s">
        <v>296</v>
      </c>
      <c r="C67" s="125">
        <f>26.892+4.5</f>
        <v>31.392</v>
      </c>
      <c r="D67" s="124">
        <v>66</v>
      </c>
      <c r="E67" s="126">
        <v>10152.5</v>
      </c>
      <c r="F67" s="125">
        <v>61.0134</v>
      </c>
      <c r="G67" s="124">
        <v>90</v>
      </c>
      <c r="H67" s="127">
        <v>4146</v>
      </c>
      <c r="I67" s="127">
        <f>2150510/3</f>
        <v>716836.6666666666</v>
      </c>
      <c r="J67" s="127">
        <f>2049844/3-K67</f>
        <v>640497.3333333334</v>
      </c>
      <c r="K67" s="129">
        <f>2584+2576+891+3419+10531+10312+2337+6513+3621</f>
        <v>42784</v>
      </c>
      <c r="L67" s="128">
        <f t="shared" si="6"/>
        <v>4.681029151224583</v>
      </c>
      <c r="M67" s="62">
        <v>4529</v>
      </c>
      <c r="N67" s="62">
        <v>4460</v>
      </c>
      <c r="O67" s="111">
        <f t="shared" si="7"/>
        <v>98.4764848752484</v>
      </c>
      <c r="P67" s="180">
        <f>(N67+Q67)/M67*100</f>
        <v>100</v>
      </c>
      <c r="Q67" s="1">
        <v>69</v>
      </c>
      <c r="R67" s="446"/>
    </row>
    <row r="68" spans="1:18" ht="12.75">
      <c r="A68" s="100">
        <v>5</v>
      </c>
      <c r="B68" s="124" t="s">
        <v>290</v>
      </c>
      <c r="C68" s="125">
        <f>13.9732+7.638+2.0236</f>
        <v>23.6348</v>
      </c>
      <c r="D68" s="124">
        <v>29</v>
      </c>
      <c r="E68" s="126">
        <v>3462.5</v>
      </c>
      <c r="F68" s="125">
        <v>39.6667</v>
      </c>
      <c r="G68" s="124">
        <v>17</v>
      </c>
      <c r="H68" s="127">
        <v>1570</v>
      </c>
      <c r="I68" s="127">
        <f>924517/3</f>
        <v>308172.3333333333</v>
      </c>
      <c r="J68" s="127">
        <f>882830/3-K68</f>
        <v>225006.6666666667</v>
      </c>
      <c r="K68" s="127">
        <f>2584+2576+891+2387+1898+22201+3419+10531+10312+2337+6513+3621</f>
        <v>69270</v>
      </c>
      <c r="L68" s="128">
        <f t="shared" si="6"/>
        <v>4.509057161739577</v>
      </c>
      <c r="M68" s="62">
        <v>1824</v>
      </c>
      <c r="N68" s="62">
        <v>1824</v>
      </c>
      <c r="O68" s="111">
        <f t="shared" si="7"/>
        <v>100</v>
      </c>
      <c r="P68" s="178">
        <f>O68</f>
        <v>100</v>
      </c>
      <c r="Q68" s="1"/>
      <c r="R68" s="446"/>
    </row>
    <row r="69" spans="1:18" ht="12.75">
      <c r="A69" s="100">
        <v>6</v>
      </c>
      <c r="B69" s="124" t="s">
        <v>298</v>
      </c>
      <c r="C69" s="125">
        <f>2.5473+0.466+20.5108+3</f>
        <v>26.5241</v>
      </c>
      <c r="D69" s="124">
        <v>93</v>
      </c>
      <c r="E69" s="126">
        <v>66292.5</v>
      </c>
      <c r="F69" s="125">
        <v>29.7621</v>
      </c>
      <c r="G69" s="124">
        <v>90</v>
      </c>
      <c r="H69" s="127">
        <v>3630</v>
      </c>
      <c r="I69" s="127">
        <f>3317510/3</f>
        <v>1105836.6666666667</v>
      </c>
      <c r="J69" s="127">
        <f>3125648/3-K69</f>
        <v>974623.6666666666</v>
      </c>
      <c r="K69" s="127">
        <f>8639+21572+4284+9610+2963+497+6365+3122+10207</f>
        <v>67259</v>
      </c>
      <c r="L69" s="128">
        <f t="shared" si="6"/>
        <v>5.78331338865596</v>
      </c>
      <c r="M69" s="62">
        <v>5793</v>
      </c>
      <c r="N69" s="62">
        <v>5793</v>
      </c>
      <c r="O69" s="111">
        <f t="shared" si="7"/>
        <v>100</v>
      </c>
      <c r="P69" s="178">
        <f>O69</f>
        <v>100</v>
      </c>
      <c r="Q69" s="1"/>
      <c r="R69" s="446"/>
    </row>
    <row r="70" spans="1:18" ht="12.75">
      <c r="A70" s="100">
        <v>7</v>
      </c>
      <c r="B70" s="130" t="s">
        <v>299</v>
      </c>
      <c r="C70" s="131">
        <f>23.217+20.7374+3</f>
        <v>46.9544</v>
      </c>
      <c r="D70" s="130">
        <v>133</v>
      </c>
      <c r="E70" s="132">
        <v>51080</v>
      </c>
      <c r="F70" s="131">
        <v>19.417</v>
      </c>
      <c r="G70" s="130">
        <v>115</v>
      </c>
      <c r="H70" s="133">
        <f>1451-115</f>
        <v>1336</v>
      </c>
      <c r="I70" s="133">
        <f>873690/3</f>
        <v>291230</v>
      </c>
      <c r="J70" s="133">
        <f>829321/3-K70</f>
        <v>261379.3333333333</v>
      </c>
      <c r="K70" s="133">
        <f>8136+5780+1145</f>
        <v>15061</v>
      </c>
      <c r="L70" s="134">
        <f t="shared" si="6"/>
        <v>5.078345866382819</v>
      </c>
      <c r="M70" s="62">
        <v>1573</v>
      </c>
      <c r="N70" s="62">
        <v>1573</v>
      </c>
      <c r="O70" s="111">
        <f t="shared" si="7"/>
        <v>100</v>
      </c>
      <c r="P70" s="178">
        <f>O70</f>
        <v>100</v>
      </c>
      <c r="Q70" s="1"/>
      <c r="R70" s="446"/>
    </row>
    <row r="71" spans="1:18" ht="12.75">
      <c r="A71" s="100">
        <v>8</v>
      </c>
      <c r="B71" s="124" t="s">
        <v>297</v>
      </c>
      <c r="C71" s="125">
        <f>3.1242+0.5803+2.5</f>
        <v>6.2045</v>
      </c>
      <c r="D71" s="124">
        <v>28</v>
      </c>
      <c r="E71" s="126">
        <v>3625</v>
      </c>
      <c r="F71" s="125">
        <v>32.7164</v>
      </c>
      <c r="G71" s="124">
        <v>28</v>
      </c>
      <c r="H71" s="127">
        <f>2664-28</f>
        <v>2636</v>
      </c>
      <c r="I71" s="127">
        <f>1066990/3</f>
        <v>355663.3333333333</v>
      </c>
      <c r="J71" s="127">
        <f>1022168/3-K71</f>
        <v>331922.6666666667</v>
      </c>
      <c r="K71" s="127">
        <f>4899+1086+1019+1796</f>
        <v>8800</v>
      </c>
      <c r="L71" s="128">
        <f t="shared" si="6"/>
        <v>4.200789135793202</v>
      </c>
      <c r="M71" s="62">
        <v>2664</v>
      </c>
      <c r="N71" s="62">
        <v>2664</v>
      </c>
      <c r="O71" s="111">
        <f t="shared" si="7"/>
        <v>100</v>
      </c>
      <c r="P71" s="178">
        <f>O71</f>
        <v>100</v>
      </c>
      <c r="Q71" s="1"/>
      <c r="R71" s="446"/>
    </row>
    <row r="72" spans="1:18" ht="12.75">
      <c r="A72" s="100">
        <v>9</v>
      </c>
      <c r="B72" s="124" t="s">
        <v>289</v>
      </c>
      <c r="C72" s="125">
        <f>9.5007+8.136+3</f>
        <v>20.636699999999998</v>
      </c>
      <c r="D72" s="124">
        <v>29</v>
      </c>
      <c r="E72" s="126">
        <v>8772.5</v>
      </c>
      <c r="F72" s="125">
        <v>20.5653</v>
      </c>
      <c r="G72" s="124">
        <v>25</v>
      </c>
      <c r="H72" s="127">
        <v>1633</v>
      </c>
      <c r="I72" s="127">
        <f>841315/3</f>
        <v>280438.3333333333</v>
      </c>
      <c r="J72" s="127">
        <f>798298/3-K72</f>
        <v>263496.3333333333</v>
      </c>
      <c r="K72" s="127">
        <f>2375+228</f>
        <v>2603</v>
      </c>
      <c r="L72" s="128">
        <f>(I72-J72-K72)*100/I72</f>
        <v>5.113067043853967</v>
      </c>
      <c r="M72" s="62">
        <v>1658</v>
      </c>
      <c r="N72" s="62">
        <v>1658</v>
      </c>
      <c r="O72" s="111">
        <f t="shared" si="7"/>
        <v>100</v>
      </c>
      <c r="P72" s="178">
        <f>O72</f>
        <v>100</v>
      </c>
      <c r="Q72" s="1"/>
      <c r="R72" s="446"/>
    </row>
    <row r="73" spans="1:18" ht="12.75">
      <c r="A73" s="100">
        <v>10</v>
      </c>
      <c r="B73" s="124" t="s">
        <v>291</v>
      </c>
      <c r="C73" s="125">
        <f>3.3+2.809</f>
        <v>6.109</v>
      </c>
      <c r="D73" s="124">
        <v>21</v>
      </c>
      <c r="E73" s="126">
        <v>2330</v>
      </c>
      <c r="F73" s="125">
        <v>7.5274</v>
      </c>
      <c r="G73" s="124">
        <v>10</v>
      </c>
      <c r="H73" s="127">
        <v>562</v>
      </c>
      <c r="I73" s="127">
        <f>319360/3</f>
        <v>106453.33333333333</v>
      </c>
      <c r="J73" s="127">
        <f>301129/3-K73</f>
        <v>89762.33333333333</v>
      </c>
      <c r="K73" s="127">
        <f>2564+8050</f>
        <v>10614</v>
      </c>
      <c r="L73" s="128">
        <f>(I73-J73-K73)*100/I73</f>
        <v>5.708604709418838</v>
      </c>
      <c r="M73" s="62">
        <f>1983-831</f>
        <v>1152</v>
      </c>
      <c r="N73" s="62">
        <v>750</v>
      </c>
      <c r="O73" s="111">
        <f t="shared" si="7"/>
        <v>65.10416666666666</v>
      </c>
      <c r="P73" s="179">
        <f>(N73+Q73)/M73*100</f>
        <v>91.14583333333334</v>
      </c>
      <c r="Q73" s="1">
        <v>300</v>
      </c>
      <c r="R73" s="446"/>
    </row>
    <row r="74" spans="1:18" ht="12.75">
      <c r="A74" s="100">
        <v>11</v>
      </c>
      <c r="B74" s="124" t="s">
        <v>293</v>
      </c>
      <c r="C74" s="125">
        <f>11.359+18.4566+2</f>
        <v>31.815600000000003</v>
      </c>
      <c r="D74" s="124">
        <v>23</v>
      </c>
      <c r="E74" s="126">
        <v>1365</v>
      </c>
      <c r="F74" s="125">
        <v>11.7278</v>
      </c>
      <c r="G74" s="124">
        <v>11</v>
      </c>
      <c r="H74" s="127">
        <v>982</v>
      </c>
      <c r="I74" s="127">
        <f>316000/3</f>
        <v>105333.33333333333</v>
      </c>
      <c r="J74" s="127">
        <f>302499/3-K74</f>
        <v>98703</v>
      </c>
      <c r="K74" s="127">
        <f>1889+241</f>
        <v>2130</v>
      </c>
      <c r="L74" s="128">
        <f>(I74-J74-K74)*100/I74</f>
        <v>4.272468354430376</v>
      </c>
      <c r="M74" s="62">
        <v>1116</v>
      </c>
      <c r="N74" s="62">
        <v>1058</v>
      </c>
      <c r="O74" s="111">
        <f t="shared" si="7"/>
        <v>94.80286738351255</v>
      </c>
      <c r="P74" s="178">
        <f>O74</f>
        <v>94.80286738351255</v>
      </c>
      <c r="Q74" s="1"/>
      <c r="R74" s="446"/>
    </row>
    <row r="75" spans="1:17" ht="12.75">
      <c r="A75" s="83">
        <v>6</v>
      </c>
      <c r="B75" s="75" t="s">
        <v>57</v>
      </c>
      <c r="C75" s="107"/>
      <c r="D75" s="116"/>
      <c r="E75" s="117"/>
      <c r="F75" s="107"/>
      <c r="G75" s="116"/>
      <c r="H75" s="116"/>
      <c r="I75" s="116"/>
      <c r="J75" s="118"/>
      <c r="K75" s="118"/>
      <c r="L75" s="122"/>
      <c r="M75" s="116"/>
      <c r="N75" s="116"/>
      <c r="O75" s="107"/>
      <c r="P75" s="163"/>
      <c r="Q75" s="1"/>
    </row>
    <row r="76" spans="1:18" ht="12.75">
      <c r="A76" s="100">
        <v>1</v>
      </c>
      <c r="B76" s="115" t="s">
        <v>229</v>
      </c>
      <c r="C76" s="107">
        <v>24.664</v>
      </c>
      <c r="D76" s="116">
        <v>24</v>
      </c>
      <c r="E76" s="117">
        <f>3*25+15+37.5+2*37.5+25+45+25+37.5+2*37.5+50+25+150+100+25+250+25+25+25+75+25+25+50+50</f>
        <v>1310</v>
      </c>
      <c r="F76" s="107">
        <v>19.601</v>
      </c>
      <c r="G76" s="116">
        <v>7</v>
      </c>
      <c r="H76" s="116">
        <f aca="true" t="shared" si="8" ref="H76:H82">N76-G76</f>
        <v>1953</v>
      </c>
      <c r="I76" s="116">
        <f>(J76+K76)/0.9375</f>
        <v>282165.6888888889</v>
      </c>
      <c r="J76" s="118">
        <f>675235/3</f>
        <v>225078.33333333334</v>
      </c>
      <c r="K76" s="118">
        <v>39452</v>
      </c>
      <c r="L76" s="119">
        <f aca="true" t="shared" si="9" ref="L76:L82">(I76-J76-K76)/I76*100</f>
        <v>6.250000000000008</v>
      </c>
      <c r="M76" s="62">
        <v>1981</v>
      </c>
      <c r="N76" s="62">
        <v>1960</v>
      </c>
      <c r="O76" s="111">
        <f>N76/M76*100</f>
        <v>98.93992932862191</v>
      </c>
      <c r="P76" s="180">
        <f aca="true" t="shared" si="10" ref="P76:P81">(N76+Q76)/M76*100</f>
        <v>100</v>
      </c>
      <c r="Q76" s="1">
        <v>21</v>
      </c>
      <c r="R76" s="446"/>
    </row>
    <row r="77" spans="1:18" ht="12.75">
      <c r="A77" s="100">
        <v>2</v>
      </c>
      <c r="B77" s="115" t="s">
        <v>231</v>
      </c>
      <c r="C77" s="107">
        <v>11.339</v>
      </c>
      <c r="D77" s="116">
        <v>13</v>
      </c>
      <c r="E77" s="117">
        <f>3*37.5+37.5+100+45+50+50+100+3*37.5+100+2*75+25+2*75+2*75</f>
        <v>1182.5</v>
      </c>
      <c r="F77" s="107">
        <v>21.849</v>
      </c>
      <c r="G77" s="116">
        <v>8</v>
      </c>
      <c r="H77" s="116">
        <f t="shared" si="8"/>
        <v>1974</v>
      </c>
      <c r="I77" s="116">
        <f>(J77+K77)/0.9435</f>
        <v>365015.7216039569</v>
      </c>
      <c r="J77" s="118">
        <f>894484/3</f>
        <v>298161.3333333333</v>
      </c>
      <c r="K77" s="118">
        <v>46231</v>
      </c>
      <c r="L77" s="119">
        <f t="shared" si="9"/>
        <v>5.650000000000003</v>
      </c>
      <c r="M77" s="62">
        <v>1990</v>
      </c>
      <c r="N77" s="62">
        <v>1982</v>
      </c>
      <c r="O77" s="111">
        <f>N77/M77*100</f>
        <v>99.59798994974875</v>
      </c>
      <c r="P77" s="180">
        <f t="shared" si="10"/>
        <v>100</v>
      </c>
      <c r="Q77" s="1">
        <v>8</v>
      </c>
      <c r="R77" s="446"/>
    </row>
    <row r="78" spans="1:18" ht="12.75">
      <c r="A78" s="100">
        <v>3</v>
      </c>
      <c r="B78" s="115" t="s">
        <v>228</v>
      </c>
      <c r="C78" s="107">
        <v>20.462</v>
      </c>
      <c r="D78" s="116">
        <v>31</v>
      </c>
      <c r="E78" s="117">
        <f>25+50+25+50+25+37.5+15+25+150+25+100+50+50+30+150+25+15+180+75+160+160+150+160+75+15+160+180+25+50+25+15</f>
        <v>2277.5</v>
      </c>
      <c r="F78" s="107">
        <v>20.165</v>
      </c>
      <c r="G78" s="116">
        <v>21</v>
      </c>
      <c r="H78" s="116">
        <f t="shared" si="8"/>
        <v>1159</v>
      </c>
      <c r="I78" s="116">
        <f>(J78+K78)/0.946</f>
        <v>349175.82804792107</v>
      </c>
      <c r="J78" s="118">
        <f>849256/3</f>
        <v>283085.3333333333</v>
      </c>
      <c r="K78" s="118">
        <v>47235</v>
      </c>
      <c r="L78" s="119">
        <f t="shared" si="9"/>
        <v>5.400000000000004</v>
      </c>
      <c r="M78" s="62">
        <v>1195</v>
      </c>
      <c r="N78" s="62">
        <v>1180</v>
      </c>
      <c r="O78" s="111">
        <f>N78/M78*100</f>
        <v>98.74476987447699</v>
      </c>
      <c r="P78" s="180">
        <f t="shared" si="10"/>
        <v>100</v>
      </c>
      <c r="Q78" s="1">
        <v>15</v>
      </c>
      <c r="R78" s="446"/>
    </row>
    <row r="79" spans="1:18" ht="15" customHeight="1">
      <c r="A79" s="100">
        <v>4</v>
      </c>
      <c r="B79" s="115" t="s">
        <v>232</v>
      </c>
      <c r="C79" s="107">
        <v>5.755</v>
      </c>
      <c r="D79" s="116">
        <v>13</v>
      </c>
      <c r="E79" s="117">
        <f>250+250+3*37.5+25+25+160+160+160+150+150+75+50+75</f>
        <v>1642.5</v>
      </c>
      <c r="F79" s="107">
        <v>7.385</v>
      </c>
      <c r="G79" s="116">
        <v>4</v>
      </c>
      <c r="H79" s="116">
        <f t="shared" si="8"/>
        <v>1481</v>
      </c>
      <c r="I79" s="116">
        <f>(J79+K79)/0.9449</f>
        <v>259075.73993720676</v>
      </c>
      <c r="J79" s="118">
        <f>615428/3</f>
        <v>205142.66666666666</v>
      </c>
      <c r="K79" s="118">
        <v>39658</v>
      </c>
      <c r="L79" s="119">
        <f t="shared" si="9"/>
        <v>5.510000000000003</v>
      </c>
      <c r="M79" s="62">
        <v>1485</v>
      </c>
      <c r="N79" s="62">
        <v>1485</v>
      </c>
      <c r="O79" s="113">
        <f>N79/M79*100</f>
        <v>100</v>
      </c>
      <c r="P79" s="178">
        <f>O79</f>
        <v>100</v>
      </c>
      <c r="Q79" s="1"/>
      <c r="R79" s="446"/>
    </row>
    <row r="80" spans="1:18" ht="12.75">
      <c r="A80" s="100">
        <v>5</v>
      </c>
      <c r="B80" s="115" t="s">
        <v>227</v>
      </c>
      <c r="C80" s="107">
        <f>6.7+0.86+3.438+1</f>
        <v>11.998000000000001</v>
      </c>
      <c r="D80" s="116">
        <v>35</v>
      </c>
      <c r="E80" s="117">
        <f>45+150+160+320+560+250+250+250+400+75+160+45+160+45+75+160+3*37.5+75+75+150+160+50+75+25+100+25+3*37.5+25+160+150+160+50+75+400+25</f>
        <v>5110</v>
      </c>
      <c r="F80" s="107">
        <v>18.424</v>
      </c>
      <c r="G80" s="116">
        <v>9</v>
      </c>
      <c r="H80" s="116">
        <f t="shared" si="8"/>
        <v>1456</v>
      </c>
      <c r="I80" s="116">
        <f>(J80+K80)/0.938</f>
        <v>432056.50319829426</v>
      </c>
      <c r="J80" s="118">
        <f>1147562/3</f>
        <v>382520.6666666667</v>
      </c>
      <c r="K80" s="118">
        <f>68245/3</f>
        <v>22748.333333333332</v>
      </c>
      <c r="L80" s="119">
        <f t="shared" si="9"/>
        <v>6.199999999999999</v>
      </c>
      <c r="M80" s="62">
        <v>1598</v>
      </c>
      <c r="N80" s="62">
        <v>1465</v>
      </c>
      <c r="O80" s="111">
        <f aca="true" t="shared" si="11" ref="O80:O88">N80/M80*100</f>
        <v>91.67709637046308</v>
      </c>
      <c r="P80" s="180">
        <f t="shared" si="10"/>
        <v>100</v>
      </c>
      <c r="Q80" s="1">
        <v>133</v>
      </c>
      <c r="R80" s="446"/>
    </row>
    <row r="81" spans="1:18" ht="12.75">
      <c r="A81" s="100">
        <v>6</v>
      </c>
      <c r="B81" s="115" t="s">
        <v>233</v>
      </c>
      <c r="C81" s="107">
        <v>13.769</v>
      </c>
      <c r="D81" s="116">
        <v>18</v>
      </c>
      <c r="E81" s="117">
        <f>100+100+75+75+50+75+750+250+250+250+30+3*75+150+15+45+75+75+100</f>
        <v>2690</v>
      </c>
      <c r="F81" s="107">
        <v>32.174</v>
      </c>
      <c r="G81" s="116">
        <v>11</v>
      </c>
      <c r="H81" s="116">
        <f t="shared" si="8"/>
        <v>2532</v>
      </c>
      <c r="I81" s="116">
        <f>(J81+K81)/0.947</f>
        <v>547934.530095037</v>
      </c>
      <c r="J81" s="118">
        <f>1310256/3</f>
        <v>436752</v>
      </c>
      <c r="K81" s="118">
        <v>82142</v>
      </c>
      <c r="L81" s="119">
        <f t="shared" si="9"/>
        <v>5.3</v>
      </c>
      <c r="M81" s="62">
        <v>2557</v>
      </c>
      <c r="N81" s="62">
        <v>2543</v>
      </c>
      <c r="O81" s="113">
        <f>N81/M81*100</f>
        <v>99.45248337895973</v>
      </c>
      <c r="P81" s="180">
        <f t="shared" si="10"/>
        <v>100</v>
      </c>
      <c r="Q81" s="1">
        <v>14</v>
      </c>
      <c r="R81" s="446"/>
    </row>
    <row r="82" spans="1:18" ht="12.75">
      <c r="A82" s="100">
        <v>7</v>
      </c>
      <c r="B82" s="115" t="s">
        <v>230</v>
      </c>
      <c r="C82" s="108">
        <v>25.67</v>
      </c>
      <c r="D82" s="116">
        <v>21</v>
      </c>
      <c r="E82" s="117">
        <f>75+75+25+100+25+2*37.5+75+100+45+25+25+2*75+50+100+15+50+2*37.5+37.5+25+37.5+15</f>
        <v>1200</v>
      </c>
      <c r="F82" s="107">
        <v>18.762</v>
      </c>
      <c r="G82" s="116">
        <v>5</v>
      </c>
      <c r="H82" s="116">
        <f t="shared" si="8"/>
        <v>1944</v>
      </c>
      <c r="I82" s="116">
        <f>(J82+K82)/0.949</f>
        <v>251323.84966631545</v>
      </c>
      <c r="J82" s="118">
        <f>598624/3</f>
        <v>199541.33333333334</v>
      </c>
      <c r="K82" s="118">
        <v>38965</v>
      </c>
      <c r="L82" s="119">
        <f t="shared" si="9"/>
        <v>5.100000000000008</v>
      </c>
      <c r="M82" s="62">
        <v>1949</v>
      </c>
      <c r="N82" s="62">
        <v>1949</v>
      </c>
      <c r="O82" s="113">
        <f t="shared" si="11"/>
        <v>100</v>
      </c>
      <c r="P82" s="178">
        <f aca="true" t="shared" si="12" ref="P82:P88">O82</f>
        <v>100</v>
      </c>
      <c r="Q82" s="1"/>
      <c r="R82" s="446"/>
    </row>
    <row r="83" spans="1:18" s="145" customFormat="1" ht="16.5" customHeight="1">
      <c r="A83" s="100">
        <v>8</v>
      </c>
      <c r="B83" s="136" t="s">
        <v>257</v>
      </c>
      <c r="C83" s="137">
        <v>31.9798</v>
      </c>
      <c r="D83" s="138">
        <v>50</v>
      </c>
      <c r="E83" s="139">
        <v>3820</v>
      </c>
      <c r="F83" s="137">
        <v>56.324</v>
      </c>
      <c r="G83" s="140">
        <v>41</v>
      </c>
      <c r="H83" s="140">
        <f>2834-100</f>
        <v>2734</v>
      </c>
      <c r="I83" s="141">
        <v>596150</v>
      </c>
      <c r="J83" s="140">
        <v>471561</v>
      </c>
      <c r="K83" s="140">
        <v>97763</v>
      </c>
      <c r="L83" s="142">
        <v>4.5</v>
      </c>
      <c r="M83" s="62">
        <v>3112</v>
      </c>
      <c r="N83" s="62">
        <v>3100</v>
      </c>
      <c r="O83" s="143">
        <f t="shared" si="11"/>
        <v>99.61439588688947</v>
      </c>
      <c r="P83" s="178">
        <f t="shared" si="12"/>
        <v>99.61439588688947</v>
      </c>
      <c r="Q83" s="1"/>
      <c r="R83" s="446"/>
    </row>
    <row r="84" spans="1:18" s="145" customFormat="1" ht="16.5" customHeight="1">
      <c r="A84" s="100">
        <v>9</v>
      </c>
      <c r="B84" s="136" t="s">
        <v>258</v>
      </c>
      <c r="C84" s="137">
        <v>21.2247</v>
      </c>
      <c r="D84" s="138">
        <v>25</v>
      </c>
      <c r="E84" s="139">
        <v>2317.5</v>
      </c>
      <c r="F84" s="137">
        <v>28.57</v>
      </c>
      <c r="G84" s="140">
        <v>13</v>
      </c>
      <c r="H84" s="140">
        <f>1984-200</f>
        <v>1784</v>
      </c>
      <c r="I84" s="141">
        <v>415495</v>
      </c>
      <c r="J84" s="140">
        <v>300808</v>
      </c>
      <c r="K84" s="140">
        <v>99231</v>
      </c>
      <c r="L84" s="142" t="s">
        <v>242</v>
      </c>
      <c r="M84" s="62">
        <v>2144</v>
      </c>
      <c r="N84" s="62">
        <v>2124</v>
      </c>
      <c r="O84" s="143">
        <f t="shared" si="11"/>
        <v>99.06716417910447</v>
      </c>
      <c r="P84" s="178">
        <f t="shared" si="12"/>
        <v>99.06716417910447</v>
      </c>
      <c r="Q84" s="1"/>
      <c r="R84" s="446"/>
    </row>
    <row r="85" spans="1:19" s="145" customFormat="1" ht="16.5" customHeight="1">
      <c r="A85" s="100">
        <v>10</v>
      </c>
      <c r="B85" s="136" t="s">
        <v>259</v>
      </c>
      <c r="C85" s="137">
        <v>40.6365</v>
      </c>
      <c r="D85" s="138">
        <v>55</v>
      </c>
      <c r="E85" s="139">
        <v>5007.5</v>
      </c>
      <c r="F85" s="137">
        <v>53.748</v>
      </c>
      <c r="G85" s="140">
        <v>21</v>
      </c>
      <c r="H85" s="140">
        <f>3455+500</f>
        <v>3955</v>
      </c>
      <c r="I85" s="141">
        <v>694248</v>
      </c>
      <c r="J85" s="140">
        <v>500406</v>
      </c>
      <c r="K85" s="140">
        <v>139761</v>
      </c>
      <c r="L85" s="142" t="s">
        <v>241</v>
      </c>
      <c r="M85" s="62">
        <v>4089</v>
      </c>
      <c r="N85" s="62">
        <v>3643</v>
      </c>
      <c r="O85" s="143">
        <f t="shared" si="11"/>
        <v>89.09268769870384</v>
      </c>
      <c r="P85" s="178">
        <f t="shared" si="12"/>
        <v>89.09268769870384</v>
      </c>
      <c r="Q85" s="1"/>
      <c r="R85" s="446"/>
      <c r="S85" s="144"/>
    </row>
    <row r="86" spans="1:19" s="145" customFormat="1" ht="16.5" customHeight="1">
      <c r="A86" s="100">
        <v>11</v>
      </c>
      <c r="B86" s="136" t="s">
        <v>260</v>
      </c>
      <c r="C86" s="137">
        <v>21.2277</v>
      </c>
      <c r="D86" s="138">
        <v>26</v>
      </c>
      <c r="E86" s="139">
        <v>1735</v>
      </c>
      <c r="F86" s="137">
        <v>23.329</v>
      </c>
      <c r="G86" s="140">
        <v>20</v>
      </c>
      <c r="H86" s="140">
        <f>3490+300</f>
        <v>3790</v>
      </c>
      <c r="I86" s="141">
        <v>693550</v>
      </c>
      <c r="J86" s="140">
        <v>564154</v>
      </c>
      <c r="K86" s="140">
        <v>96037</v>
      </c>
      <c r="L86" s="142" t="s">
        <v>240</v>
      </c>
      <c r="M86" s="62">
        <v>3998</v>
      </c>
      <c r="N86" s="62">
        <v>3896</v>
      </c>
      <c r="O86" s="143">
        <f t="shared" si="11"/>
        <v>97.4487243621811</v>
      </c>
      <c r="P86" s="178">
        <f t="shared" si="12"/>
        <v>97.4487243621811</v>
      </c>
      <c r="Q86" s="1"/>
      <c r="R86" s="446"/>
      <c r="S86" s="144"/>
    </row>
    <row r="87" spans="1:19" s="145" customFormat="1" ht="16.5" customHeight="1">
      <c r="A87" s="100">
        <v>12</v>
      </c>
      <c r="B87" s="136" t="s">
        <v>261</v>
      </c>
      <c r="C87" s="137">
        <v>28.5879</v>
      </c>
      <c r="D87" s="138">
        <v>47</v>
      </c>
      <c r="E87" s="139">
        <v>3815</v>
      </c>
      <c r="F87" s="137">
        <v>49.805</v>
      </c>
      <c r="G87" s="140">
        <v>9</v>
      </c>
      <c r="H87" s="140">
        <f>2891+600</f>
        <v>3491</v>
      </c>
      <c r="I87" s="141">
        <v>490303</v>
      </c>
      <c r="J87" s="140">
        <v>404969</v>
      </c>
      <c r="K87" s="140">
        <v>62290</v>
      </c>
      <c r="L87" s="142">
        <v>4.7</v>
      </c>
      <c r="M87" s="62">
        <v>3690</v>
      </c>
      <c r="N87" s="62">
        <v>3641</v>
      </c>
      <c r="O87" s="143">
        <f t="shared" si="11"/>
        <v>98.67208672086721</v>
      </c>
      <c r="P87" s="178">
        <f t="shared" si="12"/>
        <v>98.67208672086721</v>
      </c>
      <c r="Q87" s="1"/>
      <c r="R87" s="446"/>
      <c r="S87" s="144"/>
    </row>
    <row r="88" spans="1:19" s="145" customFormat="1" ht="16.5" customHeight="1">
      <c r="A88" s="100">
        <v>13</v>
      </c>
      <c r="B88" s="136" t="s">
        <v>262</v>
      </c>
      <c r="C88" s="137">
        <v>22.2295</v>
      </c>
      <c r="D88" s="138">
        <v>27</v>
      </c>
      <c r="E88" s="139">
        <v>1862.5</v>
      </c>
      <c r="F88" s="137">
        <v>24.589</v>
      </c>
      <c r="G88" s="140">
        <v>9</v>
      </c>
      <c r="H88" s="140">
        <f>1483+200</f>
        <v>1683</v>
      </c>
      <c r="I88" s="141">
        <v>230431</v>
      </c>
      <c r="J88" s="140">
        <v>188496</v>
      </c>
      <c r="K88" s="140">
        <v>27234</v>
      </c>
      <c r="L88" s="142">
        <v>6.38</v>
      </c>
      <c r="M88" s="62">
        <v>1883</v>
      </c>
      <c r="N88" s="62">
        <v>1763</v>
      </c>
      <c r="O88" s="143">
        <f t="shared" si="11"/>
        <v>93.62719065321295</v>
      </c>
      <c r="P88" s="178">
        <f t="shared" si="12"/>
        <v>93.62719065321295</v>
      </c>
      <c r="Q88" s="16"/>
      <c r="R88" s="446"/>
      <c r="S88" s="144"/>
    </row>
    <row r="89" spans="1:17" ht="12.75">
      <c r="A89" s="83">
        <v>7</v>
      </c>
      <c r="B89" s="123" t="s">
        <v>71</v>
      </c>
      <c r="C89" s="107"/>
      <c r="D89" s="116"/>
      <c r="E89" s="117"/>
      <c r="F89" s="107"/>
      <c r="G89" s="116"/>
      <c r="H89" s="116"/>
      <c r="I89" s="116"/>
      <c r="J89" s="118"/>
      <c r="K89" s="118"/>
      <c r="L89" s="119"/>
      <c r="M89" s="116"/>
      <c r="N89" s="116"/>
      <c r="O89" s="113"/>
      <c r="P89" s="163"/>
      <c r="Q89" s="16"/>
    </row>
    <row r="90" spans="1:20" ht="12.75">
      <c r="A90" s="146">
        <v>1</v>
      </c>
      <c r="B90" s="147" t="s">
        <v>243</v>
      </c>
      <c r="C90" s="137">
        <v>46.1128</v>
      </c>
      <c r="D90" s="138">
        <v>52</v>
      </c>
      <c r="E90" s="139">
        <v>4910</v>
      </c>
      <c r="F90" s="137">
        <v>44.114</v>
      </c>
      <c r="G90" s="140">
        <v>38</v>
      </c>
      <c r="H90" s="140">
        <f>3087+600</f>
        <v>3687</v>
      </c>
      <c r="I90" s="141">
        <v>804386</v>
      </c>
      <c r="J90" s="140">
        <v>496748</v>
      </c>
      <c r="K90" s="140">
        <v>255756</v>
      </c>
      <c r="L90" s="142" t="s">
        <v>237</v>
      </c>
      <c r="M90" s="62">
        <v>3826</v>
      </c>
      <c r="N90" s="62">
        <v>3565</v>
      </c>
      <c r="O90" s="143">
        <f aca="true" t="shared" si="13" ref="O90:O101">N90/M90*100</f>
        <v>93.17825405122844</v>
      </c>
      <c r="P90" s="179">
        <f aca="true" t="shared" si="14" ref="P90:P120">(N90+Q90)/M90*100</f>
        <v>98.95452169367486</v>
      </c>
      <c r="Q90" s="199">
        <v>221</v>
      </c>
      <c r="R90" s="446"/>
      <c r="S90" s="144"/>
      <c r="T90" s="448"/>
    </row>
    <row r="91" spans="1:20" ht="12.75">
      <c r="A91" s="146">
        <v>2</v>
      </c>
      <c r="B91" s="147" t="s">
        <v>244</v>
      </c>
      <c r="C91" s="137">
        <v>28.858</v>
      </c>
      <c r="D91" s="138">
        <v>33</v>
      </c>
      <c r="E91" s="139">
        <v>2862.5</v>
      </c>
      <c r="F91" s="137">
        <v>35.012</v>
      </c>
      <c r="G91" s="140">
        <v>21</v>
      </c>
      <c r="H91" s="140">
        <f>1893-200</f>
        <v>1693</v>
      </c>
      <c r="I91" s="141">
        <v>552435</v>
      </c>
      <c r="J91" s="140">
        <v>278690</v>
      </c>
      <c r="K91" s="140">
        <v>234136</v>
      </c>
      <c r="L91" s="142">
        <v>7.17</v>
      </c>
      <c r="M91" s="62">
        <v>1907</v>
      </c>
      <c r="N91" s="62">
        <v>1766</v>
      </c>
      <c r="O91" s="143">
        <f t="shared" si="13"/>
        <v>92.60618772941794</v>
      </c>
      <c r="P91" s="179">
        <f t="shared" si="14"/>
        <v>99.73780807551127</v>
      </c>
      <c r="Q91" s="199">
        <v>136</v>
      </c>
      <c r="R91" s="446"/>
      <c r="S91" s="144"/>
      <c r="T91" s="448"/>
    </row>
    <row r="92" spans="1:20" ht="12.75">
      <c r="A92" s="146">
        <v>3</v>
      </c>
      <c r="B92" s="147" t="s">
        <v>245</v>
      </c>
      <c r="C92" s="137">
        <v>24.8378</v>
      </c>
      <c r="D92" s="138">
        <v>37</v>
      </c>
      <c r="E92" s="139">
        <v>4465</v>
      </c>
      <c r="F92" s="137">
        <v>22.697</v>
      </c>
      <c r="G92" s="140">
        <v>28</v>
      </c>
      <c r="H92" s="140">
        <v>1616</v>
      </c>
      <c r="I92" s="141">
        <v>755238</v>
      </c>
      <c r="J92" s="140">
        <v>206518</v>
      </c>
      <c r="K92" s="140">
        <v>499328</v>
      </c>
      <c r="L92" s="142">
        <v>6.54</v>
      </c>
      <c r="M92" s="62">
        <v>2058</v>
      </c>
      <c r="N92" s="62">
        <v>2043</v>
      </c>
      <c r="O92" s="143">
        <f t="shared" si="13"/>
        <v>99.27113702623906</v>
      </c>
      <c r="P92" s="179">
        <f t="shared" si="14"/>
        <v>99.85422740524781</v>
      </c>
      <c r="Q92" s="199">
        <v>12</v>
      </c>
      <c r="R92" s="446"/>
      <c r="S92" s="144"/>
      <c r="T92" s="448"/>
    </row>
    <row r="93" spans="1:20" ht="12.75">
      <c r="A93" s="146">
        <v>4</v>
      </c>
      <c r="B93" s="147" t="s">
        <v>246</v>
      </c>
      <c r="C93" s="137">
        <v>26.7327</v>
      </c>
      <c r="D93" s="138">
        <v>43</v>
      </c>
      <c r="E93" s="139">
        <v>3670</v>
      </c>
      <c r="F93" s="137">
        <v>44.296</v>
      </c>
      <c r="G93" s="140">
        <v>21</v>
      </c>
      <c r="H93" s="140">
        <v>3774</v>
      </c>
      <c r="I93" s="141">
        <v>633639</v>
      </c>
      <c r="J93" s="140">
        <v>488035</v>
      </c>
      <c r="K93" s="140">
        <v>115317</v>
      </c>
      <c r="L93" s="142" t="s">
        <v>236</v>
      </c>
      <c r="M93" s="62">
        <v>3816</v>
      </c>
      <c r="N93" s="62">
        <v>3802</v>
      </c>
      <c r="O93" s="143">
        <f t="shared" si="13"/>
        <v>99.63312368972747</v>
      </c>
      <c r="P93" s="179">
        <f t="shared" si="14"/>
        <v>99.895178197065</v>
      </c>
      <c r="Q93" s="199">
        <v>10</v>
      </c>
      <c r="R93" s="446"/>
      <c r="S93" s="144"/>
      <c r="T93" s="448"/>
    </row>
    <row r="94" spans="1:20" ht="17.25" customHeight="1">
      <c r="A94" s="146">
        <v>5</v>
      </c>
      <c r="B94" s="147" t="s">
        <v>247</v>
      </c>
      <c r="C94" s="137">
        <v>31.9056</v>
      </c>
      <c r="D94" s="138">
        <v>52</v>
      </c>
      <c r="E94" s="139">
        <v>6555</v>
      </c>
      <c r="F94" s="137">
        <v>44.771</v>
      </c>
      <c r="G94" s="140">
        <v>21</v>
      </c>
      <c r="H94" s="140">
        <v>3618</v>
      </c>
      <c r="I94" s="141">
        <v>656034</v>
      </c>
      <c r="J94" s="140">
        <v>481909</v>
      </c>
      <c r="K94" s="140">
        <v>121971</v>
      </c>
      <c r="L94" s="142" t="s">
        <v>235</v>
      </c>
      <c r="M94" s="62">
        <v>3835</v>
      </c>
      <c r="N94" s="62">
        <v>3802</v>
      </c>
      <c r="O94" s="143">
        <f t="shared" si="13"/>
        <v>99.13950456323337</v>
      </c>
      <c r="P94" s="180">
        <f t="shared" si="14"/>
        <v>100</v>
      </c>
      <c r="Q94" s="199">
        <v>33</v>
      </c>
      <c r="R94" s="446"/>
      <c r="S94" s="144"/>
      <c r="T94" s="448"/>
    </row>
    <row r="95" spans="1:20" ht="12.75">
      <c r="A95" s="146">
        <v>6</v>
      </c>
      <c r="B95" s="147" t="s">
        <v>248</v>
      </c>
      <c r="C95" s="137">
        <v>22.0266</v>
      </c>
      <c r="D95" s="138">
        <v>39</v>
      </c>
      <c r="E95" s="139">
        <v>7380</v>
      </c>
      <c r="F95" s="137">
        <v>22.717</v>
      </c>
      <c r="G95" s="140">
        <v>32</v>
      </c>
      <c r="H95" s="140">
        <v>2357</v>
      </c>
      <c r="I95" s="141">
        <v>994400</v>
      </c>
      <c r="J95" s="140">
        <v>283431</v>
      </c>
      <c r="K95" s="140">
        <v>648720</v>
      </c>
      <c r="L95" s="142">
        <v>6.26</v>
      </c>
      <c r="M95" s="62">
        <v>2547</v>
      </c>
      <c r="N95" s="62">
        <v>2494</v>
      </c>
      <c r="O95" s="143">
        <f t="shared" si="13"/>
        <v>97.91912053396152</v>
      </c>
      <c r="P95" s="179">
        <f t="shared" si="14"/>
        <v>99.80369061641147</v>
      </c>
      <c r="Q95" s="199">
        <v>48</v>
      </c>
      <c r="R95" s="446"/>
      <c r="S95" s="144"/>
      <c r="T95" s="448"/>
    </row>
    <row r="96" spans="1:20" ht="12.75">
      <c r="A96" s="146">
        <v>7</v>
      </c>
      <c r="B96" s="147" t="s">
        <v>249</v>
      </c>
      <c r="C96" s="137">
        <v>33.7389</v>
      </c>
      <c r="D96" s="138">
        <v>55</v>
      </c>
      <c r="E96" s="139">
        <v>10945</v>
      </c>
      <c r="F96" s="137">
        <v>45.027</v>
      </c>
      <c r="G96" s="140">
        <v>61</v>
      </c>
      <c r="H96" s="140">
        <v>4744</v>
      </c>
      <c r="I96" s="141">
        <v>1333099</v>
      </c>
      <c r="J96" s="140">
        <v>521741</v>
      </c>
      <c r="K96" s="140">
        <v>718841</v>
      </c>
      <c r="L96" s="142">
        <v>6.94</v>
      </c>
      <c r="M96" s="62">
        <v>4840</v>
      </c>
      <c r="N96" s="62">
        <v>4826</v>
      </c>
      <c r="O96" s="143">
        <f t="shared" si="13"/>
        <v>99.7107438016529</v>
      </c>
      <c r="P96" s="180">
        <f t="shared" si="14"/>
        <v>100</v>
      </c>
      <c r="Q96" s="199">
        <v>14</v>
      </c>
      <c r="R96" s="446"/>
      <c r="S96" s="144"/>
      <c r="T96" s="448"/>
    </row>
    <row r="97" spans="1:20" ht="12.75">
      <c r="A97" s="146">
        <v>8</v>
      </c>
      <c r="B97" s="147" t="s">
        <v>250</v>
      </c>
      <c r="C97" s="137">
        <v>57.7807</v>
      </c>
      <c r="D97" s="138">
        <v>85</v>
      </c>
      <c r="E97" s="139">
        <v>15257.5</v>
      </c>
      <c r="F97" s="137">
        <v>63.5</v>
      </c>
      <c r="G97" s="140">
        <v>80</v>
      </c>
      <c r="H97" s="140">
        <v>5355</v>
      </c>
      <c r="I97" s="141">
        <v>3357248</v>
      </c>
      <c r="J97" s="140">
        <v>738724</v>
      </c>
      <c r="K97" s="140">
        <v>2424811</v>
      </c>
      <c r="L97" s="142">
        <v>5.77</v>
      </c>
      <c r="M97" s="62">
        <v>5445</v>
      </c>
      <c r="N97" s="62">
        <v>5392</v>
      </c>
      <c r="O97" s="143">
        <f t="shared" si="13"/>
        <v>99.02662993572085</v>
      </c>
      <c r="P97" s="179">
        <f t="shared" si="14"/>
        <v>99.52249770431588</v>
      </c>
      <c r="Q97" s="199">
        <v>27</v>
      </c>
      <c r="R97" s="446"/>
      <c r="S97" s="144"/>
      <c r="T97" s="448"/>
    </row>
    <row r="98" spans="1:20" ht="12.75">
      <c r="A98" s="146">
        <v>9</v>
      </c>
      <c r="B98" s="147" t="s">
        <v>251</v>
      </c>
      <c r="C98" s="137">
        <v>9.6058</v>
      </c>
      <c r="D98" s="138">
        <v>32</v>
      </c>
      <c r="E98" s="139">
        <v>3157.5</v>
      </c>
      <c r="F98" s="137">
        <v>20.019</v>
      </c>
      <c r="G98" s="140">
        <v>40</v>
      </c>
      <c r="H98" s="140">
        <v>2676</v>
      </c>
      <c r="I98" s="141">
        <v>533289</v>
      </c>
      <c r="J98" s="140">
        <v>350827</v>
      </c>
      <c r="K98" s="140">
        <v>144567</v>
      </c>
      <c r="L98" s="142">
        <v>7.106</v>
      </c>
      <c r="M98" s="62">
        <v>2728</v>
      </c>
      <c r="N98" s="62">
        <v>2720</v>
      </c>
      <c r="O98" s="143">
        <f t="shared" si="13"/>
        <v>99.70674486803519</v>
      </c>
      <c r="P98" s="180">
        <f t="shared" si="14"/>
        <v>100</v>
      </c>
      <c r="Q98" s="199">
        <v>8</v>
      </c>
      <c r="R98" s="446"/>
      <c r="S98" s="144"/>
      <c r="T98" s="448"/>
    </row>
    <row r="99" spans="1:20" ht="12.75">
      <c r="A99" s="146">
        <v>10</v>
      </c>
      <c r="B99" s="147" t="s">
        <v>252</v>
      </c>
      <c r="C99" s="137">
        <v>15.1634</v>
      </c>
      <c r="D99" s="138">
        <v>27</v>
      </c>
      <c r="E99" s="139">
        <v>3425</v>
      </c>
      <c r="F99" s="137">
        <v>33.026</v>
      </c>
      <c r="G99" s="140">
        <v>48</v>
      </c>
      <c r="H99" s="140">
        <f>3251-200</f>
        <v>3051</v>
      </c>
      <c r="I99" s="141">
        <v>582025</v>
      </c>
      <c r="J99" s="140">
        <v>478654</v>
      </c>
      <c r="K99" s="140">
        <v>70545</v>
      </c>
      <c r="L99" s="142">
        <v>5.64</v>
      </c>
      <c r="M99" s="62">
        <v>3119</v>
      </c>
      <c r="N99" s="62">
        <v>3087</v>
      </c>
      <c r="O99" s="143">
        <f t="shared" si="13"/>
        <v>98.9740301378647</v>
      </c>
      <c r="P99" s="179">
        <f t="shared" si="14"/>
        <v>99.74350753446618</v>
      </c>
      <c r="Q99" s="199">
        <v>24</v>
      </c>
      <c r="R99" s="446"/>
      <c r="S99" s="144"/>
      <c r="T99" s="448"/>
    </row>
    <row r="100" spans="1:20" ht="12.75">
      <c r="A100" s="146">
        <v>11</v>
      </c>
      <c r="B100" s="147" t="s">
        <v>253</v>
      </c>
      <c r="C100" s="137">
        <v>21.1963</v>
      </c>
      <c r="D100" s="138">
        <v>44</v>
      </c>
      <c r="E100" s="139">
        <v>5077.5</v>
      </c>
      <c r="F100" s="137">
        <v>38.392</v>
      </c>
      <c r="G100" s="140">
        <v>62</v>
      </c>
      <c r="H100" s="140">
        <v>3123</v>
      </c>
      <c r="I100" s="141">
        <v>606006</v>
      </c>
      <c r="J100" s="140">
        <v>402025</v>
      </c>
      <c r="K100" s="140">
        <v>160955</v>
      </c>
      <c r="L100" s="142">
        <v>7.1</v>
      </c>
      <c r="M100" s="62">
        <v>3247</v>
      </c>
      <c r="N100" s="62">
        <v>3219</v>
      </c>
      <c r="O100" s="143">
        <f t="shared" si="13"/>
        <v>99.13766553741915</v>
      </c>
      <c r="P100" s="179">
        <f t="shared" si="14"/>
        <v>99.7536187249769</v>
      </c>
      <c r="Q100" s="199">
        <v>20</v>
      </c>
      <c r="R100" s="446"/>
      <c r="S100" s="144"/>
      <c r="T100" s="448"/>
    </row>
    <row r="101" spans="1:20" ht="12.75">
      <c r="A101" s="146">
        <v>12</v>
      </c>
      <c r="B101" s="147" t="s">
        <v>254</v>
      </c>
      <c r="C101" s="137">
        <v>16.3292</v>
      </c>
      <c r="D101" s="138">
        <v>37</v>
      </c>
      <c r="E101" s="139">
        <v>4982.5</v>
      </c>
      <c r="F101" s="137">
        <v>41.926</v>
      </c>
      <c r="G101" s="140">
        <v>265</v>
      </c>
      <c r="H101" s="140">
        <f>2059-400</f>
        <v>1659</v>
      </c>
      <c r="I101" s="141">
        <v>484565</v>
      </c>
      <c r="J101" s="140">
        <v>307878</v>
      </c>
      <c r="K101" s="140">
        <v>149116</v>
      </c>
      <c r="L101" s="142" t="s">
        <v>239</v>
      </c>
      <c r="M101" s="62">
        <v>1746</v>
      </c>
      <c r="N101" s="62">
        <v>1745</v>
      </c>
      <c r="O101" s="143">
        <f t="shared" si="13"/>
        <v>99.94272623138602</v>
      </c>
      <c r="P101" s="180">
        <f t="shared" si="14"/>
        <v>100</v>
      </c>
      <c r="Q101" s="199">
        <v>1</v>
      </c>
      <c r="R101" s="446"/>
      <c r="S101" s="144"/>
      <c r="T101" s="448"/>
    </row>
    <row r="102" spans="1:20" ht="12.75">
      <c r="A102" s="146">
        <v>13</v>
      </c>
      <c r="B102" s="147" t="s">
        <v>255</v>
      </c>
      <c r="C102" s="137">
        <v>19.085</v>
      </c>
      <c r="D102" s="138">
        <v>39</v>
      </c>
      <c r="E102" s="139">
        <v>3805</v>
      </c>
      <c r="F102" s="137">
        <v>41.12</v>
      </c>
      <c r="G102" s="140">
        <v>99</v>
      </c>
      <c r="H102" s="140">
        <f>2991-600</f>
        <v>2391</v>
      </c>
      <c r="I102" s="141">
        <v>697587</v>
      </c>
      <c r="J102" s="140">
        <v>492111</v>
      </c>
      <c r="K102" s="140">
        <v>155390</v>
      </c>
      <c r="L102" s="142" t="s">
        <v>238</v>
      </c>
      <c r="M102" s="62">
        <v>2423</v>
      </c>
      <c r="N102" s="62">
        <v>2414</v>
      </c>
      <c r="O102" s="143">
        <f>N102/M102*100</f>
        <v>99.62855963681386</v>
      </c>
      <c r="P102" s="179">
        <f t="shared" si="14"/>
        <v>99.95872884853488</v>
      </c>
      <c r="Q102" s="199">
        <v>8</v>
      </c>
      <c r="R102" s="446"/>
      <c r="S102" s="144"/>
      <c r="T102" s="448"/>
    </row>
    <row r="103" spans="1:20" ht="12.75">
      <c r="A103" s="146">
        <v>14</v>
      </c>
      <c r="B103" s="147" t="s">
        <v>256</v>
      </c>
      <c r="C103" s="137">
        <v>18.8854</v>
      </c>
      <c r="D103" s="138">
        <v>22</v>
      </c>
      <c r="E103" s="139">
        <v>1860</v>
      </c>
      <c r="F103" s="137">
        <v>20.354</v>
      </c>
      <c r="G103" s="140">
        <v>25</v>
      </c>
      <c r="H103" s="140">
        <v>1552</v>
      </c>
      <c r="I103" s="141">
        <v>307898</v>
      </c>
      <c r="J103" s="140">
        <v>238893</v>
      </c>
      <c r="K103" s="140">
        <v>46498</v>
      </c>
      <c r="L103" s="142" t="s">
        <v>234</v>
      </c>
      <c r="M103" s="62">
        <v>1618</v>
      </c>
      <c r="N103" s="62">
        <v>1603</v>
      </c>
      <c r="O103" s="143">
        <f>N103/M103*100</f>
        <v>99.07292954264524</v>
      </c>
      <c r="P103" s="179">
        <f t="shared" si="14"/>
        <v>99.93819530284301</v>
      </c>
      <c r="Q103" s="199">
        <v>14</v>
      </c>
      <c r="R103" s="446"/>
      <c r="S103" s="144"/>
      <c r="T103" s="448"/>
    </row>
    <row r="104" spans="1:16" ht="18.75" customHeight="1">
      <c r="A104" s="182">
        <v>8</v>
      </c>
      <c r="B104" s="148" t="s">
        <v>86</v>
      </c>
      <c r="C104" s="149"/>
      <c r="D104" s="138"/>
      <c r="E104" s="139"/>
      <c r="F104" s="149"/>
      <c r="G104" s="140"/>
      <c r="H104" s="140"/>
      <c r="I104" s="141"/>
      <c r="J104" s="140"/>
      <c r="K104" s="140"/>
      <c r="L104" s="142"/>
      <c r="M104" s="62"/>
      <c r="N104" s="62"/>
      <c r="O104" s="143"/>
      <c r="P104" s="163"/>
    </row>
    <row r="105" spans="1:20" ht="12.75">
      <c r="A105" s="146">
        <v>1</v>
      </c>
      <c r="B105" s="115" t="s">
        <v>323</v>
      </c>
      <c r="C105" s="186">
        <v>21.491</v>
      </c>
      <c r="D105" s="62">
        <v>19</v>
      </c>
      <c r="E105" s="187">
        <v>1300</v>
      </c>
      <c r="F105" s="186">
        <v>19.196</v>
      </c>
      <c r="G105" s="62">
        <v>7</v>
      </c>
      <c r="H105" s="62">
        <v>1167</v>
      </c>
      <c r="I105" s="62">
        <v>418921</v>
      </c>
      <c r="J105" s="62">
        <v>349422</v>
      </c>
      <c r="K105" s="62">
        <v>35989</v>
      </c>
      <c r="L105" s="188">
        <f aca="true" t="shared" si="15" ref="L105:L121">ROUND((I105-J105-K105)/I105*100,2)</f>
        <v>8</v>
      </c>
      <c r="M105" s="62">
        <v>1505</v>
      </c>
      <c r="N105" s="62">
        <v>1484</v>
      </c>
      <c r="O105" s="188">
        <f>N105/M105*100</f>
        <v>98.6046511627907</v>
      </c>
      <c r="P105" s="179">
        <f t="shared" si="14"/>
        <v>99.93355481727575</v>
      </c>
      <c r="Q105" s="199">
        <v>20</v>
      </c>
      <c r="R105" s="446"/>
      <c r="S105" s="144"/>
      <c r="T105" s="448"/>
    </row>
    <row r="106" spans="1:20" ht="12.75">
      <c r="A106" s="146">
        <v>2</v>
      </c>
      <c r="B106" s="115" t="s">
        <v>324</v>
      </c>
      <c r="C106" s="186">
        <v>18.715</v>
      </c>
      <c r="D106" s="62">
        <v>21</v>
      </c>
      <c r="E106" s="187">
        <v>1025</v>
      </c>
      <c r="F106" s="186">
        <v>28.06</v>
      </c>
      <c r="G106" s="62">
        <v>6</v>
      </c>
      <c r="H106" s="62">
        <v>1521</v>
      </c>
      <c r="I106" s="62">
        <v>836321</v>
      </c>
      <c r="J106" s="62">
        <v>704681</v>
      </c>
      <c r="K106" s="62">
        <v>77439</v>
      </c>
      <c r="L106" s="188">
        <f t="shared" si="15"/>
        <v>6.48</v>
      </c>
      <c r="M106" s="62">
        <v>1365</v>
      </c>
      <c r="N106" s="62">
        <v>1365</v>
      </c>
      <c r="O106" s="188">
        <f>N106/M106*100</f>
        <v>100</v>
      </c>
      <c r="P106" s="178">
        <f>O106</f>
        <v>100</v>
      </c>
      <c r="Q106" s="199"/>
      <c r="R106" s="446"/>
      <c r="S106" s="144"/>
      <c r="T106" s="448"/>
    </row>
    <row r="107" spans="1:20" ht="12.75">
      <c r="A107" s="146">
        <v>3</v>
      </c>
      <c r="B107" s="115" t="s">
        <v>325</v>
      </c>
      <c r="C107" s="186">
        <v>17.985</v>
      </c>
      <c r="D107" s="62">
        <v>15</v>
      </c>
      <c r="E107" s="187">
        <v>762.5</v>
      </c>
      <c r="F107" s="186">
        <v>17.917</v>
      </c>
      <c r="G107" s="62">
        <v>5</v>
      </c>
      <c r="H107" s="62">
        <v>663</v>
      </c>
      <c r="I107" s="62">
        <v>499513</v>
      </c>
      <c r="J107" s="62">
        <v>406536</v>
      </c>
      <c r="K107" s="62">
        <v>63858</v>
      </c>
      <c r="L107" s="188">
        <f t="shared" si="15"/>
        <v>5.83</v>
      </c>
      <c r="M107" s="62">
        <v>1111</v>
      </c>
      <c r="N107" s="62">
        <v>1005</v>
      </c>
      <c r="O107" s="188">
        <f>N107/M107*100</f>
        <v>90.45904590459047</v>
      </c>
      <c r="P107" s="179">
        <f t="shared" si="14"/>
        <v>90.999099909991</v>
      </c>
      <c r="Q107" s="199">
        <v>6</v>
      </c>
      <c r="R107" s="446"/>
      <c r="S107" s="144"/>
      <c r="T107" s="448"/>
    </row>
    <row r="108" spans="1:20" ht="12.75">
      <c r="A108" s="146">
        <v>4</v>
      </c>
      <c r="B108" s="115" t="s">
        <v>326</v>
      </c>
      <c r="C108" s="186">
        <v>19.759</v>
      </c>
      <c r="D108" s="62">
        <v>18</v>
      </c>
      <c r="E108" s="187">
        <v>1537.5</v>
      </c>
      <c r="F108" s="186">
        <v>25.296</v>
      </c>
      <c r="G108" s="62">
        <v>16</v>
      </c>
      <c r="H108" s="62">
        <v>887</v>
      </c>
      <c r="I108" s="62">
        <v>879511</v>
      </c>
      <c r="J108" s="62">
        <v>571398</v>
      </c>
      <c r="K108" s="62">
        <v>240368</v>
      </c>
      <c r="L108" s="188">
        <f t="shared" si="15"/>
        <v>7.7</v>
      </c>
      <c r="M108" s="62">
        <v>1162</v>
      </c>
      <c r="N108" s="62">
        <v>1066</v>
      </c>
      <c r="O108" s="188">
        <f>N108/M108*100</f>
        <v>91.73838209982789</v>
      </c>
      <c r="P108" s="179">
        <f t="shared" si="14"/>
        <v>93.63166953528399</v>
      </c>
      <c r="Q108" s="199">
        <v>22</v>
      </c>
      <c r="R108" s="446"/>
      <c r="S108" s="144"/>
      <c r="T108" s="448"/>
    </row>
    <row r="109" spans="1:20" ht="12.75">
      <c r="A109" s="146">
        <v>5</v>
      </c>
      <c r="B109" s="115" t="s">
        <v>327</v>
      </c>
      <c r="C109" s="186">
        <v>17.047</v>
      </c>
      <c r="D109" s="62">
        <v>18</v>
      </c>
      <c r="E109" s="187">
        <v>1237.5</v>
      </c>
      <c r="F109" s="186">
        <v>21.948</v>
      </c>
      <c r="G109" s="62">
        <v>3</v>
      </c>
      <c r="H109" s="62">
        <v>1237</v>
      </c>
      <c r="I109" s="62">
        <v>935946</v>
      </c>
      <c r="J109" s="62">
        <v>697070</v>
      </c>
      <c r="K109" s="62">
        <v>198720</v>
      </c>
      <c r="L109" s="188">
        <f t="shared" si="15"/>
        <v>4.29</v>
      </c>
      <c r="M109" s="62">
        <v>1876</v>
      </c>
      <c r="N109" s="62">
        <v>1525</v>
      </c>
      <c r="O109" s="188">
        <f aca="true" t="shared" si="16" ref="O109:O121">N109/M109*100</f>
        <v>81.28997867803838</v>
      </c>
      <c r="P109" s="179">
        <f t="shared" si="14"/>
        <v>87.95309168443497</v>
      </c>
      <c r="Q109" s="199">
        <v>125</v>
      </c>
      <c r="R109" s="446"/>
      <c r="S109" s="144"/>
      <c r="T109" s="448"/>
    </row>
    <row r="110" spans="1:20" ht="12.75">
      <c r="A110" s="146">
        <v>6</v>
      </c>
      <c r="B110" s="115" t="s">
        <v>328</v>
      </c>
      <c r="C110" s="186">
        <v>19.885</v>
      </c>
      <c r="D110" s="62">
        <v>25</v>
      </c>
      <c r="E110" s="187">
        <v>1787.5</v>
      </c>
      <c r="F110" s="186">
        <v>26.521</v>
      </c>
      <c r="G110" s="62">
        <v>4</v>
      </c>
      <c r="H110" s="62">
        <v>1564</v>
      </c>
      <c r="I110" s="62">
        <v>1344866</v>
      </c>
      <c r="J110" s="62">
        <v>1073760</v>
      </c>
      <c r="K110" s="62">
        <v>178273</v>
      </c>
      <c r="L110" s="188">
        <f t="shared" si="15"/>
        <v>6.9</v>
      </c>
      <c r="M110" s="62">
        <v>1679</v>
      </c>
      <c r="N110" s="62">
        <v>1672</v>
      </c>
      <c r="O110" s="188">
        <f t="shared" si="16"/>
        <v>99.5830851697439</v>
      </c>
      <c r="P110" s="180">
        <f t="shared" si="14"/>
        <v>100</v>
      </c>
      <c r="Q110" s="199">
        <v>7</v>
      </c>
      <c r="R110" s="446"/>
      <c r="S110" s="144"/>
      <c r="T110" s="448"/>
    </row>
    <row r="111" spans="1:20" ht="12.75">
      <c r="A111" s="146">
        <v>7</v>
      </c>
      <c r="B111" s="115" t="s">
        <v>329</v>
      </c>
      <c r="C111" s="186">
        <v>9.355</v>
      </c>
      <c r="D111" s="62">
        <v>10</v>
      </c>
      <c r="E111" s="187">
        <v>1360</v>
      </c>
      <c r="F111" s="186">
        <v>22.012</v>
      </c>
      <c r="G111" s="62">
        <v>23</v>
      </c>
      <c r="H111" s="62">
        <v>2187</v>
      </c>
      <c r="I111" s="62">
        <v>1802507</v>
      </c>
      <c r="J111" s="62">
        <v>1477579</v>
      </c>
      <c r="K111" s="62">
        <v>207883</v>
      </c>
      <c r="L111" s="188">
        <f t="shared" si="15"/>
        <v>6.49</v>
      </c>
      <c r="M111" s="62">
        <v>2234</v>
      </c>
      <c r="N111" s="62">
        <v>2232</v>
      </c>
      <c r="O111" s="188">
        <f t="shared" si="16"/>
        <v>99.91047448522829</v>
      </c>
      <c r="P111" s="157">
        <f>O111</f>
        <v>99.91047448522829</v>
      </c>
      <c r="Q111" s="199"/>
      <c r="R111" s="446"/>
      <c r="S111" s="144"/>
      <c r="T111" s="448"/>
    </row>
    <row r="112" spans="1:20" ht="12.75">
      <c r="A112" s="146">
        <v>8</v>
      </c>
      <c r="B112" s="115" t="s">
        <v>330</v>
      </c>
      <c r="C112" s="186">
        <v>25.706</v>
      </c>
      <c r="D112" s="62">
        <v>27</v>
      </c>
      <c r="E112" s="187">
        <v>2162.5</v>
      </c>
      <c r="F112" s="186">
        <v>36.607</v>
      </c>
      <c r="G112" s="62">
        <v>19</v>
      </c>
      <c r="H112" s="62">
        <v>1832</v>
      </c>
      <c r="I112" s="62">
        <v>1683490</v>
      </c>
      <c r="J112" s="62">
        <v>1298815</v>
      </c>
      <c r="K112" s="62">
        <v>291443</v>
      </c>
      <c r="L112" s="188">
        <f t="shared" si="15"/>
        <v>5.54</v>
      </c>
      <c r="M112" s="62">
        <v>2211</v>
      </c>
      <c r="N112" s="62">
        <v>2158</v>
      </c>
      <c r="O112" s="188">
        <f t="shared" si="16"/>
        <v>97.60289461781998</v>
      </c>
      <c r="P112" s="179">
        <f t="shared" si="14"/>
        <v>97.82903663500679</v>
      </c>
      <c r="Q112" s="199">
        <v>5</v>
      </c>
      <c r="R112" s="446"/>
      <c r="S112" s="144"/>
      <c r="T112" s="448"/>
    </row>
    <row r="113" spans="1:20" ht="12.75">
      <c r="A113" s="146">
        <v>9</v>
      </c>
      <c r="B113" s="115" t="s">
        <v>310</v>
      </c>
      <c r="C113" s="186">
        <v>7.69</v>
      </c>
      <c r="D113" s="62">
        <v>8</v>
      </c>
      <c r="E113" s="187">
        <v>625</v>
      </c>
      <c r="F113" s="186">
        <v>10.51</v>
      </c>
      <c r="G113" s="62">
        <v>10</v>
      </c>
      <c r="H113" s="62">
        <v>1014</v>
      </c>
      <c r="I113" s="62">
        <v>491301</v>
      </c>
      <c r="J113" s="62">
        <v>417141</v>
      </c>
      <c r="K113" s="62">
        <v>54272</v>
      </c>
      <c r="L113" s="188">
        <f t="shared" si="15"/>
        <v>4.05</v>
      </c>
      <c r="M113" s="62">
        <v>1361</v>
      </c>
      <c r="N113" s="62">
        <v>1346</v>
      </c>
      <c r="O113" s="188">
        <f t="shared" si="16"/>
        <v>98.89786921381337</v>
      </c>
      <c r="P113" s="157">
        <f>O113</f>
        <v>98.89786921381337</v>
      </c>
      <c r="Q113" s="199"/>
      <c r="R113" s="446"/>
      <c r="S113" s="144"/>
      <c r="T113" s="448"/>
    </row>
    <row r="114" spans="1:20" ht="12.75">
      <c r="A114" s="146">
        <v>10</v>
      </c>
      <c r="B114" s="115" t="s">
        <v>331</v>
      </c>
      <c r="C114" s="186">
        <v>16.099</v>
      </c>
      <c r="D114" s="62">
        <v>21</v>
      </c>
      <c r="E114" s="187">
        <v>1062.5</v>
      </c>
      <c r="F114" s="186">
        <v>14.155</v>
      </c>
      <c r="G114" s="62">
        <v>5</v>
      </c>
      <c r="H114" s="62">
        <v>1159</v>
      </c>
      <c r="I114" s="62">
        <v>1033664</v>
      </c>
      <c r="J114" s="62">
        <v>833517</v>
      </c>
      <c r="K114" s="62">
        <v>145564</v>
      </c>
      <c r="L114" s="188">
        <f t="shared" si="15"/>
        <v>5.28</v>
      </c>
      <c r="M114" s="62">
        <v>1744</v>
      </c>
      <c r="N114" s="62">
        <v>1685</v>
      </c>
      <c r="O114" s="188">
        <f t="shared" si="16"/>
        <v>96.61697247706422</v>
      </c>
      <c r="P114" s="179">
        <f t="shared" si="14"/>
        <v>97.7637614678899</v>
      </c>
      <c r="Q114" s="199">
        <v>20</v>
      </c>
      <c r="R114" s="446"/>
      <c r="S114" s="144"/>
      <c r="T114" s="448"/>
    </row>
    <row r="115" spans="1:20" ht="12.75">
      <c r="A115" s="146">
        <v>11</v>
      </c>
      <c r="B115" s="115" t="s">
        <v>332</v>
      </c>
      <c r="C115" s="186">
        <v>12.955</v>
      </c>
      <c r="D115" s="62">
        <v>20</v>
      </c>
      <c r="E115" s="187">
        <v>2127.5</v>
      </c>
      <c r="F115" s="186">
        <v>12.373</v>
      </c>
      <c r="G115" s="62">
        <v>19</v>
      </c>
      <c r="H115" s="62">
        <v>1820</v>
      </c>
      <c r="I115" s="62">
        <v>1030420</v>
      </c>
      <c r="J115" s="62">
        <v>794807</v>
      </c>
      <c r="K115" s="62">
        <v>176953</v>
      </c>
      <c r="L115" s="188">
        <f t="shared" si="15"/>
        <v>5.69</v>
      </c>
      <c r="M115" s="62">
        <v>2908</v>
      </c>
      <c r="N115" s="62">
        <v>2850</v>
      </c>
      <c r="O115" s="188">
        <f t="shared" si="16"/>
        <v>98.00550206327372</v>
      </c>
      <c r="P115" s="179">
        <f t="shared" si="14"/>
        <v>98.83081155433288</v>
      </c>
      <c r="Q115" s="199">
        <v>24</v>
      </c>
      <c r="R115" s="446"/>
      <c r="S115" s="144"/>
      <c r="T115" s="448"/>
    </row>
    <row r="116" spans="1:20" ht="12.75">
      <c r="A116" s="146">
        <v>12</v>
      </c>
      <c r="B116" s="115" t="s">
        <v>333</v>
      </c>
      <c r="C116" s="186">
        <v>22.93</v>
      </c>
      <c r="D116" s="62">
        <v>26</v>
      </c>
      <c r="E116" s="187">
        <v>2535</v>
      </c>
      <c r="F116" s="186">
        <v>23.864</v>
      </c>
      <c r="G116" s="62">
        <v>72</v>
      </c>
      <c r="H116" s="62">
        <v>1311</v>
      </c>
      <c r="I116" s="62">
        <v>1409490</v>
      </c>
      <c r="J116" s="62">
        <v>753192</v>
      </c>
      <c r="K116" s="62">
        <v>589766</v>
      </c>
      <c r="L116" s="188">
        <f t="shared" si="15"/>
        <v>4.72</v>
      </c>
      <c r="M116" s="62">
        <v>2014</v>
      </c>
      <c r="N116" s="62">
        <v>1832</v>
      </c>
      <c r="O116" s="188">
        <f t="shared" si="16"/>
        <v>90.96325719960278</v>
      </c>
      <c r="P116" s="179">
        <f t="shared" si="14"/>
        <v>95.08440913604767</v>
      </c>
      <c r="Q116" s="199">
        <v>83</v>
      </c>
      <c r="R116" s="446"/>
      <c r="S116" s="144"/>
      <c r="T116" s="448"/>
    </row>
    <row r="117" spans="1:20" ht="12.75">
      <c r="A117" s="146">
        <v>13</v>
      </c>
      <c r="B117" s="115" t="s">
        <v>334</v>
      </c>
      <c r="C117" s="186">
        <v>6.721</v>
      </c>
      <c r="D117" s="62">
        <v>15</v>
      </c>
      <c r="E117" s="187">
        <v>2715</v>
      </c>
      <c r="F117" s="186">
        <v>23.025</v>
      </c>
      <c r="G117" s="62">
        <v>40</v>
      </c>
      <c r="H117" s="62">
        <v>3174</v>
      </c>
      <c r="I117" s="62">
        <v>2139354</v>
      </c>
      <c r="J117" s="62">
        <v>1703034</v>
      </c>
      <c r="K117" s="62">
        <v>317747</v>
      </c>
      <c r="L117" s="188">
        <f t="shared" si="15"/>
        <v>5.54</v>
      </c>
      <c r="M117" s="62">
        <v>3256</v>
      </c>
      <c r="N117" s="62">
        <v>3243</v>
      </c>
      <c r="O117" s="188">
        <f t="shared" si="16"/>
        <v>99.6007371007371</v>
      </c>
      <c r="P117" s="180">
        <f t="shared" si="14"/>
        <v>100</v>
      </c>
      <c r="Q117" s="199">
        <v>13</v>
      </c>
      <c r="R117" s="446"/>
      <c r="S117" s="144"/>
      <c r="T117" s="448"/>
    </row>
    <row r="118" spans="1:20" ht="12.75">
      <c r="A118" s="146">
        <v>14</v>
      </c>
      <c r="B118" s="115" t="s">
        <v>335</v>
      </c>
      <c r="C118" s="186">
        <v>14.692</v>
      </c>
      <c r="D118" s="62">
        <v>20</v>
      </c>
      <c r="E118" s="187">
        <v>1700</v>
      </c>
      <c r="F118" s="186">
        <v>19.677</v>
      </c>
      <c r="G118" s="62">
        <v>9</v>
      </c>
      <c r="H118" s="62">
        <v>2199</v>
      </c>
      <c r="I118" s="62">
        <v>1433095</v>
      </c>
      <c r="J118" s="62">
        <v>1179699</v>
      </c>
      <c r="K118" s="62">
        <v>166266</v>
      </c>
      <c r="L118" s="188">
        <f t="shared" si="15"/>
        <v>6.08</v>
      </c>
      <c r="M118" s="62">
        <v>2639</v>
      </c>
      <c r="N118" s="62">
        <v>2635</v>
      </c>
      <c r="O118" s="188">
        <f t="shared" si="16"/>
        <v>99.84842743463433</v>
      </c>
      <c r="P118" s="157">
        <f>O118</f>
        <v>99.84842743463433</v>
      </c>
      <c r="Q118" s="199"/>
      <c r="R118" s="446"/>
      <c r="S118" s="144"/>
      <c r="T118" s="448"/>
    </row>
    <row r="119" spans="1:20" ht="12.75">
      <c r="A119" s="146">
        <v>15</v>
      </c>
      <c r="B119" s="115" t="s">
        <v>336</v>
      </c>
      <c r="C119" s="186">
        <v>14.941</v>
      </c>
      <c r="D119" s="62">
        <v>16</v>
      </c>
      <c r="E119" s="187">
        <v>1312.5</v>
      </c>
      <c r="F119" s="186">
        <v>24.784</v>
      </c>
      <c r="G119" s="62">
        <v>31</v>
      </c>
      <c r="H119" s="62">
        <v>2696</v>
      </c>
      <c r="I119" s="62">
        <v>1364227</v>
      </c>
      <c r="J119" s="62">
        <v>1125225</v>
      </c>
      <c r="K119" s="62">
        <v>173993</v>
      </c>
      <c r="L119" s="188">
        <f t="shared" si="15"/>
        <v>4.77</v>
      </c>
      <c r="M119" s="62">
        <v>2901</v>
      </c>
      <c r="N119" s="62">
        <v>2876</v>
      </c>
      <c r="O119" s="188">
        <f t="shared" si="16"/>
        <v>99.13822819717339</v>
      </c>
      <c r="P119" s="179">
        <f t="shared" si="14"/>
        <v>99.41399517407791</v>
      </c>
      <c r="Q119" s="199">
        <v>8</v>
      </c>
      <c r="R119" s="446"/>
      <c r="S119" s="144"/>
      <c r="T119" s="448"/>
    </row>
    <row r="120" spans="1:20" ht="12.75">
      <c r="A120" s="146">
        <v>16</v>
      </c>
      <c r="B120" s="115" t="s">
        <v>337</v>
      </c>
      <c r="C120" s="186">
        <v>16.633</v>
      </c>
      <c r="D120" s="62">
        <v>19</v>
      </c>
      <c r="E120" s="187">
        <v>1462.5</v>
      </c>
      <c r="F120" s="186">
        <v>17.362</v>
      </c>
      <c r="G120" s="62">
        <v>3</v>
      </c>
      <c r="H120" s="62">
        <v>1132</v>
      </c>
      <c r="I120" s="62">
        <v>1379348</v>
      </c>
      <c r="J120" s="62">
        <v>957270</v>
      </c>
      <c r="K120" s="62">
        <v>348518</v>
      </c>
      <c r="L120" s="188">
        <f t="shared" si="15"/>
        <v>5.33</v>
      </c>
      <c r="M120" s="62">
        <v>1571</v>
      </c>
      <c r="N120" s="62">
        <v>1570</v>
      </c>
      <c r="O120" s="188">
        <f t="shared" si="16"/>
        <v>99.93634627625715</v>
      </c>
      <c r="P120" s="180">
        <f t="shared" si="14"/>
        <v>100</v>
      </c>
      <c r="Q120" s="199">
        <v>1</v>
      </c>
      <c r="R120" s="446"/>
      <c r="S120" s="144"/>
      <c r="T120" s="448"/>
    </row>
    <row r="121" spans="1:20" ht="12.75">
      <c r="A121" s="146">
        <v>17</v>
      </c>
      <c r="B121" s="115" t="s">
        <v>338</v>
      </c>
      <c r="C121" s="186">
        <v>10.237</v>
      </c>
      <c r="D121" s="62">
        <v>16</v>
      </c>
      <c r="E121" s="187">
        <v>1222.5</v>
      </c>
      <c r="F121" s="186">
        <v>12.335</v>
      </c>
      <c r="G121" s="62">
        <v>15</v>
      </c>
      <c r="H121" s="62">
        <v>1271</v>
      </c>
      <c r="I121" s="62">
        <v>1412973</v>
      </c>
      <c r="J121" s="62">
        <v>1257156</v>
      </c>
      <c r="K121" s="62">
        <v>109448</v>
      </c>
      <c r="L121" s="188">
        <f t="shared" si="15"/>
        <v>3.28</v>
      </c>
      <c r="M121" s="62">
        <v>1983</v>
      </c>
      <c r="N121" s="62">
        <v>1970</v>
      </c>
      <c r="O121" s="188">
        <f t="shared" si="16"/>
        <v>99.34442763489663</v>
      </c>
      <c r="P121" s="157">
        <f>O121</f>
        <v>99.34442763489663</v>
      </c>
      <c r="R121" s="446"/>
      <c r="S121" s="144"/>
      <c r="T121" s="448"/>
    </row>
    <row r="122" spans="1:16" ht="12.75">
      <c r="A122" s="182">
        <v>9</v>
      </c>
      <c r="B122" s="150" t="s">
        <v>104</v>
      </c>
      <c r="C122" s="149"/>
      <c r="D122" s="138"/>
      <c r="E122" s="139"/>
      <c r="F122" s="149"/>
      <c r="G122" s="140"/>
      <c r="H122" s="140"/>
      <c r="I122" s="141"/>
      <c r="J122" s="140"/>
      <c r="K122" s="140"/>
      <c r="L122" s="142"/>
      <c r="M122" s="62"/>
      <c r="N122" s="62"/>
      <c r="O122" s="143"/>
      <c r="P122" s="163"/>
    </row>
    <row r="123" spans="1:20" ht="12.75">
      <c r="A123" s="146">
        <v>1</v>
      </c>
      <c r="B123" s="115" t="s">
        <v>310</v>
      </c>
      <c r="C123" s="186">
        <v>65.408</v>
      </c>
      <c r="D123" s="62">
        <v>55</v>
      </c>
      <c r="E123" s="187">
        <v>3325</v>
      </c>
      <c r="F123" s="186">
        <v>58.615</v>
      </c>
      <c r="G123" s="62">
        <v>2</v>
      </c>
      <c r="H123" s="62">
        <v>3116</v>
      </c>
      <c r="I123" s="62">
        <v>491301</v>
      </c>
      <c r="J123" s="62">
        <v>417141</v>
      </c>
      <c r="K123" s="62">
        <v>54272</v>
      </c>
      <c r="L123" s="188">
        <f>ROUND((I123-J123-K123)/I123*100,2)</f>
        <v>4.05</v>
      </c>
      <c r="M123" s="62">
        <v>5866</v>
      </c>
      <c r="N123" s="62">
        <v>4078</v>
      </c>
      <c r="O123" s="188">
        <f aca="true" t="shared" si="17" ref="O123:O135">N123/M123*100</f>
        <v>69.51926355267643</v>
      </c>
      <c r="P123" s="179">
        <f aca="true" t="shared" si="18" ref="P123:P135">(N123+Q123)/M123*100</f>
        <v>88.28844186839414</v>
      </c>
      <c r="Q123" s="199">
        <v>1101</v>
      </c>
      <c r="R123" s="446"/>
      <c r="S123" s="144"/>
      <c r="T123" s="448"/>
    </row>
    <row r="124" spans="1:20" ht="12.75">
      <c r="A124" s="146">
        <v>2</v>
      </c>
      <c r="B124" s="115" t="s">
        <v>311</v>
      </c>
      <c r="C124" s="186">
        <v>30.806</v>
      </c>
      <c r="D124" s="62">
        <v>27</v>
      </c>
      <c r="E124" s="187">
        <v>2462.5</v>
      </c>
      <c r="F124" s="186">
        <v>34.655</v>
      </c>
      <c r="G124" s="62">
        <v>74</v>
      </c>
      <c r="H124" s="62">
        <v>1349</v>
      </c>
      <c r="I124" s="62">
        <v>1344376</v>
      </c>
      <c r="J124" s="62">
        <v>670432</v>
      </c>
      <c r="K124" s="62">
        <v>618990</v>
      </c>
      <c r="L124" s="188">
        <f aca="true" t="shared" si="19" ref="L124:L132">ROUND((I124-J124-K124)/I124*100,2)</f>
        <v>4.09</v>
      </c>
      <c r="M124" s="62">
        <v>2419</v>
      </c>
      <c r="N124" s="62">
        <v>1627</v>
      </c>
      <c r="O124" s="188">
        <f>N124/M124*100</f>
        <v>67.25919801570896</v>
      </c>
      <c r="P124" s="179">
        <f t="shared" si="18"/>
        <v>93.7577511368334</v>
      </c>
      <c r="Q124" s="199">
        <v>641</v>
      </c>
      <c r="R124" s="446"/>
      <c r="S124" s="144"/>
      <c r="T124" s="448"/>
    </row>
    <row r="125" spans="1:20" ht="12.75">
      <c r="A125" s="146">
        <v>3</v>
      </c>
      <c r="B125" s="115" t="s">
        <v>312</v>
      </c>
      <c r="C125" s="186">
        <v>18.599</v>
      </c>
      <c r="D125" s="62">
        <v>22</v>
      </c>
      <c r="E125" s="187">
        <v>2717.5</v>
      </c>
      <c r="F125" s="186">
        <v>37.444</v>
      </c>
      <c r="G125" s="62">
        <v>93</v>
      </c>
      <c r="H125" s="62">
        <v>2745</v>
      </c>
      <c r="I125" s="62">
        <v>1754397</v>
      </c>
      <c r="J125" s="62">
        <v>1358640</v>
      </c>
      <c r="K125" s="62">
        <v>330952</v>
      </c>
      <c r="L125" s="188">
        <f t="shared" si="19"/>
        <v>3.69</v>
      </c>
      <c r="M125" s="62">
        <v>2967</v>
      </c>
      <c r="N125" s="62">
        <v>2909</v>
      </c>
      <c r="O125" s="188">
        <f t="shared" si="17"/>
        <v>98.04516346477924</v>
      </c>
      <c r="P125" s="179">
        <f t="shared" si="18"/>
        <v>99.2248062015504</v>
      </c>
      <c r="Q125" s="199">
        <v>35</v>
      </c>
      <c r="R125" s="446"/>
      <c r="S125" s="144"/>
      <c r="T125" s="448"/>
    </row>
    <row r="126" spans="1:20" ht="12.75">
      <c r="A126" s="146">
        <v>4</v>
      </c>
      <c r="B126" s="115" t="s">
        <v>313</v>
      </c>
      <c r="C126" s="186">
        <v>7.686</v>
      </c>
      <c r="D126" s="62">
        <v>9</v>
      </c>
      <c r="E126" s="187">
        <v>1715</v>
      </c>
      <c r="F126" s="186">
        <v>12.676</v>
      </c>
      <c r="G126" s="62">
        <v>30</v>
      </c>
      <c r="H126" s="62">
        <v>2365</v>
      </c>
      <c r="I126" s="62">
        <v>1464056</v>
      </c>
      <c r="J126" s="62">
        <v>1210406</v>
      </c>
      <c r="K126" s="62">
        <v>175879</v>
      </c>
      <c r="L126" s="188">
        <f t="shared" si="19"/>
        <v>5.31</v>
      </c>
      <c r="M126" s="62">
        <v>2672</v>
      </c>
      <c r="N126" s="62">
        <v>2550</v>
      </c>
      <c r="O126" s="188">
        <f t="shared" si="17"/>
        <v>95.43413173652695</v>
      </c>
      <c r="P126" s="179">
        <f t="shared" si="18"/>
        <v>97.97904191616766</v>
      </c>
      <c r="Q126" s="199">
        <v>68</v>
      </c>
      <c r="R126" s="446"/>
      <c r="S126" s="144"/>
      <c r="T126" s="448"/>
    </row>
    <row r="127" spans="1:20" ht="12.75">
      <c r="A127" s="146">
        <v>5</v>
      </c>
      <c r="B127" s="115" t="s">
        <v>314</v>
      </c>
      <c r="C127" s="186">
        <v>10.949</v>
      </c>
      <c r="D127" s="62">
        <v>13</v>
      </c>
      <c r="E127" s="187">
        <v>1100</v>
      </c>
      <c r="F127" s="186">
        <v>23.274</v>
      </c>
      <c r="G127" s="62">
        <v>7</v>
      </c>
      <c r="H127" s="62">
        <v>1101</v>
      </c>
      <c r="I127" s="62">
        <v>635316</v>
      </c>
      <c r="J127" s="62">
        <v>528758</v>
      </c>
      <c r="K127" s="62">
        <v>69206</v>
      </c>
      <c r="L127" s="188">
        <f t="shared" si="19"/>
        <v>5.88</v>
      </c>
      <c r="M127" s="62">
        <v>1595</v>
      </c>
      <c r="N127" s="62">
        <v>1541</v>
      </c>
      <c r="O127" s="188">
        <f t="shared" si="17"/>
        <v>96.61442006269593</v>
      </c>
      <c r="P127" s="179">
        <f t="shared" si="18"/>
        <v>99.12225705329153</v>
      </c>
      <c r="Q127" s="199">
        <v>40</v>
      </c>
      <c r="R127" s="446"/>
      <c r="S127" s="144"/>
      <c r="T127" s="448"/>
    </row>
    <row r="128" spans="1:20" ht="12.75">
      <c r="A128" s="146">
        <v>6</v>
      </c>
      <c r="B128" s="115" t="s">
        <v>315</v>
      </c>
      <c r="C128" s="186">
        <v>21.557</v>
      </c>
      <c r="D128" s="62">
        <v>25</v>
      </c>
      <c r="E128" s="187">
        <v>2070</v>
      </c>
      <c r="F128" s="186">
        <v>32.72</v>
      </c>
      <c r="G128" s="62">
        <v>18</v>
      </c>
      <c r="H128" s="62">
        <v>1282</v>
      </c>
      <c r="I128" s="62">
        <v>1098918</v>
      </c>
      <c r="J128" s="62">
        <v>816118</v>
      </c>
      <c r="K128" s="62">
        <v>274075</v>
      </c>
      <c r="L128" s="188">
        <f t="shared" si="19"/>
        <v>0.79</v>
      </c>
      <c r="M128" s="62">
        <v>1958</v>
      </c>
      <c r="N128" s="62">
        <v>1758</v>
      </c>
      <c r="O128" s="188">
        <f t="shared" si="17"/>
        <v>89.78549540347294</v>
      </c>
      <c r="P128" s="179">
        <f t="shared" si="18"/>
        <v>91.317671092952</v>
      </c>
      <c r="Q128" s="199">
        <v>30</v>
      </c>
      <c r="R128" s="446"/>
      <c r="S128" s="144"/>
      <c r="T128" s="448"/>
    </row>
    <row r="129" spans="1:20" ht="12.75">
      <c r="A129" s="146">
        <v>7</v>
      </c>
      <c r="B129" s="115" t="s">
        <v>316</v>
      </c>
      <c r="C129" s="186">
        <v>23.884</v>
      </c>
      <c r="D129" s="62">
        <v>27</v>
      </c>
      <c r="E129" s="187">
        <v>2310</v>
      </c>
      <c r="F129" s="186">
        <v>47.447</v>
      </c>
      <c r="G129" s="62">
        <v>20</v>
      </c>
      <c r="H129" s="62">
        <v>3373</v>
      </c>
      <c r="I129" s="62">
        <v>4208658</v>
      </c>
      <c r="J129" s="62">
        <v>3379381</v>
      </c>
      <c r="K129" s="62">
        <v>707327</v>
      </c>
      <c r="L129" s="188">
        <f t="shared" si="19"/>
        <v>2.9</v>
      </c>
      <c r="M129" s="62">
        <v>3837</v>
      </c>
      <c r="N129" s="62">
        <v>3753</v>
      </c>
      <c r="O129" s="188">
        <f t="shared" si="17"/>
        <v>97.81078967943706</v>
      </c>
      <c r="P129" s="180">
        <f t="shared" si="18"/>
        <v>100</v>
      </c>
      <c r="Q129" s="199">
        <v>84</v>
      </c>
      <c r="R129" s="446"/>
      <c r="S129" s="144"/>
      <c r="T129" s="448"/>
    </row>
    <row r="130" spans="1:20" ht="12.75">
      <c r="A130" s="146">
        <v>8</v>
      </c>
      <c r="B130" s="115" t="s">
        <v>317</v>
      </c>
      <c r="C130" s="186">
        <v>28.118000000000002</v>
      </c>
      <c r="D130" s="62">
        <v>34</v>
      </c>
      <c r="E130" s="187">
        <v>2825</v>
      </c>
      <c r="F130" s="186">
        <v>44.266</v>
      </c>
      <c r="G130" s="62">
        <v>58</v>
      </c>
      <c r="H130" s="62">
        <v>3695</v>
      </c>
      <c r="I130" s="62">
        <v>2531759</v>
      </c>
      <c r="J130" s="62">
        <v>2144056</v>
      </c>
      <c r="K130" s="62">
        <v>302979</v>
      </c>
      <c r="L130" s="188">
        <f t="shared" si="19"/>
        <v>3.35</v>
      </c>
      <c r="M130" s="62">
        <v>4309</v>
      </c>
      <c r="N130" s="62">
        <v>4175</v>
      </c>
      <c r="O130" s="188">
        <f t="shared" si="17"/>
        <v>96.89022975168253</v>
      </c>
      <c r="P130" s="178">
        <f>O130</f>
        <v>96.89022975168253</v>
      </c>
      <c r="Q130" s="199"/>
      <c r="R130" s="446"/>
      <c r="S130" s="144"/>
      <c r="T130" s="448"/>
    </row>
    <row r="131" spans="1:20" ht="12.75">
      <c r="A131" s="146">
        <v>9</v>
      </c>
      <c r="B131" s="115" t="s">
        <v>318</v>
      </c>
      <c r="C131" s="186">
        <v>23.875</v>
      </c>
      <c r="D131" s="62">
        <v>26</v>
      </c>
      <c r="E131" s="187">
        <v>2012.5</v>
      </c>
      <c r="F131" s="186">
        <f>33.374+5.542</f>
        <v>38.916000000000004</v>
      </c>
      <c r="G131" s="62">
        <v>47</v>
      </c>
      <c r="H131" s="62">
        <v>3617</v>
      </c>
      <c r="I131" s="62">
        <v>3406892</v>
      </c>
      <c r="J131" s="62">
        <v>2755455</v>
      </c>
      <c r="K131" s="62">
        <v>476287</v>
      </c>
      <c r="L131" s="188">
        <f t="shared" si="19"/>
        <v>5.14</v>
      </c>
      <c r="M131" s="62">
        <v>4200</v>
      </c>
      <c r="N131" s="62">
        <v>4026</v>
      </c>
      <c r="O131" s="188">
        <f t="shared" si="17"/>
        <v>95.85714285714285</v>
      </c>
      <c r="P131" s="179">
        <f t="shared" si="18"/>
        <v>98.11904761904762</v>
      </c>
      <c r="Q131" s="199">
        <v>95</v>
      </c>
      <c r="R131" s="446"/>
      <c r="S131" s="144"/>
      <c r="T131" s="448"/>
    </row>
    <row r="132" spans="1:20" ht="12.75">
      <c r="A132" s="146">
        <v>10</v>
      </c>
      <c r="B132" s="115" t="s">
        <v>319</v>
      </c>
      <c r="C132" s="186">
        <v>11.924</v>
      </c>
      <c r="D132" s="62">
        <v>14</v>
      </c>
      <c r="E132" s="187">
        <v>1562.5</v>
      </c>
      <c r="F132" s="186">
        <v>27.683</v>
      </c>
      <c r="G132" s="62">
        <v>29</v>
      </c>
      <c r="H132" s="62">
        <v>3304</v>
      </c>
      <c r="I132" s="62">
        <v>3870691</v>
      </c>
      <c r="J132" s="62">
        <v>3190983</v>
      </c>
      <c r="K132" s="62">
        <v>481039</v>
      </c>
      <c r="L132" s="188">
        <f t="shared" si="19"/>
        <v>5.13</v>
      </c>
      <c r="M132" s="62">
        <v>3203</v>
      </c>
      <c r="N132" s="62">
        <v>3171</v>
      </c>
      <c r="O132" s="188">
        <f t="shared" si="17"/>
        <v>99.00093662191696</v>
      </c>
      <c r="P132" s="179">
        <f t="shared" si="18"/>
        <v>99.62535123321886</v>
      </c>
      <c r="Q132" s="199">
        <v>20</v>
      </c>
      <c r="R132" s="446"/>
      <c r="S132" s="144"/>
      <c r="T132" s="448"/>
    </row>
    <row r="133" spans="1:20" ht="12.75">
      <c r="A133" s="146">
        <v>11</v>
      </c>
      <c r="B133" s="115" t="s">
        <v>320</v>
      </c>
      <c r="C133" s="186">
        <f>9.84+7.208</f>
        <v>17.048000000000002</v>
      </c>
      <c r="D133" s="62">
        <v>16</v>
      </c>
      <c r="E133" s="187">
        <v>1285</v>
      </c>
      <c r="F133" s="186">
        <f>24.674+1.7</f>
        <v>26.374</v>
      </c>
      <c r="G133" s="62">
        <v>10</v>
      </c>
      <c r="H133" s="62">
        <v>1597</v>
      </c>
      <c r="I133" s="62">
        <v>2308129</v>
      </c>
      <c r="J133" s="62">
        <v>1756580</v>
      </c>
      <c r="K133" s="62">
        <v>426042</v>
      </c>
      <c r="L133" s="188">
        <f>ROUND((I133-J133-K133)/I133*100,2)</f>
        <v>5.44</v>
      </c>
      <c r="M133" s="62">
        <v>2475</v>
      </c>
      <c r="N133" s="62">
        <v>2436</v>
      </c>
      <c r="O133" s="188">
        <f t="shared" si="17"/>
        <v>98.42424242424242</v>
      </c>
      <c r="P133" s="179">
        <f t="shared" si="18"/>
        <v>99.07070707070707</v>
      </c>
      <c r="Q133" s="199">
        <v>16</v>
      </c>
      <c r="R133" s="446"/>
      <c r="S133" s="144"/>
      <c r="T133" s="448"/>
    </row>
    <row r="134" spans="1:20" ht="12.75">
      <c r="A134" s="146">
        <v>12</v>
      </c>
      <c r="B134" s="115" t="s">
        <v>321</v>
      </c>
      <c r="C134" s="186">
        <v>18.871</v>
      </c>
      <c r="D134" s="62">
        <v>25</v>
      </c>
      <c r="E134" s="187">
        <v>3057.5</v>
      </c>
      <c r="F134" s="186">
        <v>44.875</v>
      </c>
      <c r="G134" s="62">
        <v>36</v>
      </c>
      <c r="H134" s="62">
        <v>2778</v>
      </c>
      <c r="I134" s="62">
        <v>3593088</v>
      </c>
      <c r="J134" s="62">
        <v>2753719</v>
      </c>
      <c r="K134" s="62">
        <v>747498</v>
      </c>
      <c r="L134" s="188">
        <f>ROUND((I134-J134-K134)/I134*100,2)</f>
        <v>2.56</v>
      </c>
      <c r="M134" s="62">
        <v>3037</v>
      </c>
      <c r="N134" s="62">
        <v>2950</v>
      </c>
      <c r="O134" s="188">
        <f t="shared" si="17"/>
        <v>97.13533091866974</v>
      </c>
      <c r="P134" s="179">
        <f t="shared" si="18"/>
        <v>98.58412907474481</v>
      </c>
      <c r="Q134" s="199">
        <v>44</v>
      </c>
      <c r="R134" s="446"/>
      <c r="S134" s="144"/>
      <c r="T134" s="448"/>
    </row>
    <row r="135" spans="1:20" ht="12.75">
      <c r="A135" s="146">
        <v>13</v>
      </c>
      <c r="B135" s="115" t="s">
        <v>322</v>
      </c>
      <c r="C135" s="186">
        <v>21.172</v>
      </c>
      <c r="D135" s="62">
        <v>30</v>
      </c>
      <c r="E135" s="187">
        <v>2975</v>
      </c>
      <c r="F135" s="186">
        <v>36.29</v>
      </c>
      <c r="G135" s="62">
        <v>25</v>
      </c>
      <c r="H135" s="62">
        <v>2336</v>
      </c>
      <c r="I135" s="62">
        <v>4780969</v>
      </c>
      <c r="J135" s="62">
        <v>3230926</v>
      </c>
      <c r="K135" s="62">
        <v>1406913</v>
      </c>
      <c r="L135" s="188">
        <f>ROUND((I135-J135-K135)/I135*100,2)</f>
        <v>2.99</v>
      </c>
      <c r="M135" s="62">
        <v>2964</v>
      </c>
      <c r="N135" s="62">
        <v>2901</v>
      </c>
      <c r="O135" s="188">
        <f t="shared" si="17"/>
        <v>97.8744939271255</v>
      </c>
      <c r="P135" s="179">
        <f t="shared" si="18"/>
        <v>99.89878542510121</v>
      </c>
      <c r="Q135" s="199">
        <v>60</v>
      </c>
      <c r="R135" s="446"/>
      <c r="S135" s="144"/>
      <c r="T135" s="448"/>
    </row>
    <row r="136" spans="1:16" ht="12.75">
      <c r="A136" s="182">
        <v>10</v>
      </c>
      <c r="B136" s="150" t="s">
        <v>126</v>
      </c>
      <c r="C136" s="149"/>
      <c r="D136" s="138"/>
      <c r="E136" s="139"/>
      <c r="F136" s="149"/>
      <c r="G136" s="140"/>
      <c r="H136" s="140"/>
      <c r="I136" s="141"/>
      <c r="J136" s="140"/>
      <c r="K136" s="140"/>
      <c r="L136" s="142"/>
      <c r="M136" s="62"/>
      <c r="N136" s="62"/>
      <c r="O136" s="143"/>
      <c r="P136" s="163"/>
    </row>
    <row r="137" spans="1:20" ht="12.75">
      <c r="A137" s="146">
        <v>1</v>
      </c>
      <c r="B137" s="151" t="s">
        <v>275</v>
      </c>
      <c r="C137" s="152">
        <f>(4.2+2.3+2.8+4.3)*1.5</f>
        <v>20.400000000000002</v>
      </c>
      <c r="D137" s="153">
        <v>56</v>
      </c>
      <c r="E137" s="154">
        <v>5352.5</v>
      </c>
      <c r="F137" s="152">
        <v>54.78</v>
      </c>
      <c r="G137" s="153">
        <v>35</v>
      </c>
      <c r="H137" s="155">
        <v>4130</v>
      </c>
      <c r="I137" s="155">
        <v>930390</v>
      </c>
      <c r="J137" s="155">
        <v>754888</v>
      </c>
      <c r="K137" s="155">
        <v>124637</v>
      </c>
      <c r="L137" s="156">
        <v>5.47</v>
      </c>
      <c r="M137" s="62">
        <v>3978</v>
      </c>
      <c r="N137" s="62">
        <v>3936</v>
      </c>
      <c r="O137" s="157">
        <f aca="true" t="shared" si="20" ref="O137:O150">+N137/M137*100</f>
        <v>98.94419306184012</v>
      </c>
      <c r="P137" s="179">
        <f aca="true" t="shared" si="21" ref="P137:P150">(N137+Q137)/M137*100</f>
        <v>99.52237305178483</v>
      </c>
      <c r="Q137" s="199">
        <v>23</v>
      </c>
      <c r="R137" s="446"/>
      <c r="S137" s="144"/>
      <c r="T137" s="448"/>
    </row>
    <row r="138" spans="1:20" ht="12.75">
      <c r="A138" s="146">
        <v>2</v>
      </c>
      <c r="B138" s="151" t="s">
        <v>276</v>
      </c>
      <c r="C138" s="152">
        <f>(2.8+1.9+3.2)*1.5</f>
        <v>11.85</v>
      </c>
      <c r="D138" s="153">
        <v>18</v>
      </c>
      <c r="E138" s="154">
        <v>1232.5</v>
      </c>
      <c r="F138" s="152">
        <v>17.6</v>
      </c>
      <c r="G138" s="153">
        <v>4</v>
      </c>
      <c r="H138" s="155">
        <v>2104</v>
      </c>
      <c r="I138" s="155">
        <v>333031</v>
      </c>
      <c r="J138" s="155">
        <v>266120</v>
      </c>
      <c r="K138" s="155">
        <v>47603</v>
      </c>
      <c r="L138" s="156">
        <v>5.8</v>
      </c>
      <c r="M138" s="62">
        <v>1652</v>
      </c>
      <c r="N138" s="62">
        <v>1603</v>
      </c>
      <c r="O138" s="157">
        <f>+N138/M138*100</f>
        <v>97.03389830508475</v>
      </c>
      <c r="P138" s="179">
        <f t="shared" si="21"/>
        <v>99.45520581113801</v>
      </c>
      <c r="Q138" s="199">
        <v>40</v>
      </c>
      <c r="R138" s="446"/>
      <c r="S138" s="144"/>
      <c r="T138" s="448"/>
    </row>
    <row r="139" spans="1:20" ht="12.75">
      <c r="A139" s="146">
        <v>3</v>
      </c>
      <c r="B139" s="151" t="s">
        <v>277</v>
      </c>
      <c r="C139" s="152">
        <f>+(16)*1.3</f>
        <v>20.8</v>
      </c>
      <c r="D139" s="153">
        <v>27</v>
      </c>
      <c r="E139" s="155">
        <v>2050</v>
      </c>
      <c r="F139" s="152">
        <v>26.3</v>
      </c>
      <c r="G139" s="153">
        <v>17</v>
      </c>
      <c r="H139" s="155">
        <v>2085</v>
      </c>
      <c r="I139" s="155">
        <v>451540</v>
      </c>
      <c r="J139" s="155">
        <v>355951</v>
      </c>
      <c r="K139" s="155">
        <v>64777</v>
      </c>
      <c r="L139" s="156">
        <v>6.82</v>
      </c>
      <c r="M139" s="62">
        <v>2092</v>
      </c>
      <c r="N139" s="62">
        <v>2010</v>
      </c>
      <c r="O139" s="157">
        <f t="shared" si="20"/>
        <v>96.08030592734225</v>
      </c>
      <c r="P139" s="179">
        <f t="shared" si="21"/>
        <v>99.52198852772467</v>
      </c>
      <c r="Q139" s="199">
        <v>72</v>
      </c>
      <c r="R139" s="446"/>
      <c r="S139" s="144"/>
      <c r="T139" s="448"/>
    </row>
    <row r="140" spans="1:20" ht="12.75">
      <c r="A140" s="146">
        <v>4</v>
      </c>
      <c r="B140" s="151" t="s">
        <v>278</v>
      </c>
      <c r="C140" s="152">
        <f>(2.4+1.2+1.7+2.6+0.9+0.7+1.6)*1.5</f>
        <v>16.65</v>
      </c>
      <c r="D140" s="153">
        <v>17</v>
      </c>
      <c r="E140" s="154">
        <v>1087.5</v>
      </c>
      <c r="F140" s="152">
        <v>16.63</v>
      </c>
      <c r="G140" s="153">
        <v>6</v>
      </c>
      <c r="H140" s="155">
        <v>1611</v>
      </c>
      <c r="I140" s="155">
        <v>360750</v>
      </c>
      <c r="J140" s="155">
        <v>280705</v>
      </c>
      <c r="K140" s="155">
        <v>55925</v>
      </c>
      <c r="L140" s="156">
        <v>6.69</v>
      </c>
      <c r="M140" s="62">
        <v>1142</v>
      </c>
      <c r="N140" s="62">
        <v>1069</v>
      </c>
      <c r="O140" s="157">
        <f t="shared" si="20"/>
        <v>93.60770577933451</v>
      </c>
      <c r="P140" s="179">
        <f t="shared" si="21"/>
        <v>98.07355516637479</v>
      </c>
      <c r="Q140" s="199">
        <v>51</v>
      </c>
      <c r="R140" s="446"/>
      <c r="S140" s="144"/>
      <c r="T140" s="448"/>
    </row>
    <row r="141" spans="1:20" ht="12.75">
      <c r="A141" s="146">
        <v>5</v>
      </c>
      <c r="B141" s="151" t="s">
        <v>279</v>
      </c>
      <c r="C141" s="152">
        <f>(4.3+1.6+3.9+5.3)*1.3</f>
        <v>19.630000000000003</v>
      </c>
      <c r="D141" s="153">
        <v>27</v>
      </c>
      <c r="E141" s="154">
        <v>2047.5</v>
      </c>
      <c r="F141" s="152">
        <v>26.41</v>
      </c>
      <c r="G141" s="153">
        <v>8</v>
      </c>
      <c r="H141" s="155">
        <v>2239</v>
      </c>
      <c r="I141" s="155">
        <v>384590</v>
      </c>
      <c r="J141" s="155">
        <v>331415</v>
      </c>
      <c r="K141" s="155">
        <v>43732</v>
      </c>
      <c r="L141" s="156">
        <v>2.46</v>
      </c>
      <c r="M141" s="62">
        <v>2397</v>
      </c>
      <c r="N141" s="62">
        <v>2346</v>
      </c>
      <c r="O141" s="157">
        <f t="shared" si="20"/>
        <v>97.87234042553192</v>
      </c>
      <c r="P141" s="179">
        <f t="shared" si="21"/>
        <v>99.87484355444305</v>
      </c>
      <c r="Q141" s="199">
        <v>48</v>
      </c>
      <c r="R141" s="446"/>
      <c r="S141" s="144"/>
      <c r="T141" s="448"/>
    </row>
    <row r="142" spans="1:20" ht="12.75">
      <c r="A142" s="146">
        <v>6</v>
      </c>
      <c r="B142" s="151" t="s">
        <v>280</v>
      </c>
      <c r="C142" s="152">
        <f>(5.3+3.7)*1.5</f>
        <v>13.5</v>
      </c>
      <c r="D142" s="153">
        <v>15</v>
      </c>
      <c r="E142" s="155">
        <v>2425</v>
      </c>
      <c r="F142" s="152">
        <v>13.8</v>
      </c>
      <c r="G142" s="153">
        <v>7</v>
      </c>
      <c r="H142" s="155">
        <v>2031</v>
      </c>
      <c r="I142" s="155">
        <v>428724</v>
      </c>
      <c r="J142" s="155">
        <v>368963</v>
      </c>
      <c r="K142" s="155">
        <v>32297</v>
      </c>
      <c r="L142" s="156">
        <v>6.41</v>
      </c>
      <c r="M142" s="62">
        <v>1996</v>
      </c>
      <c r="N142" s="62">
        <v>1914</v>
      </c>
      <c r="O142" s="157">
        <f>+N142/M142*100</f>
        <v>95.89178356713427</v>
      </c>
      <c r="P142" s="179">
        <f t="shared" si="21"/>
        <v>98.04609218436873</v>
      </c>
      <c r="Q142" s="199">
        <v>43</v>
      </c>
      <c r="R142" s="446"/>
      <c r="S142" s="144"/>
      <c r="T142" s="448"/>
    </row>
    <row r="143" spans="1:20" ht="12.75">
      <c r="A143" s="146">
        <v>7</v>
      </c>
      <c r="B143" s="151" t="s">
        <v>281</v>
      </c>
      <c r="C143" s="152">
        <f>+(9)*1.8</f>
        <v>16.2</v>
      </c>
      <c r="D143" s="153">
        <v>19</v>
      </c>
      <c r="E143" s="154">
        <v>1112.5</v>
      </c>
      <c r="F143" s="152">
        <v>18.58</v>
      </c>
      <c r="G143" s="153">
        <v>1</v>
      </c>
      <c r="H143" s="155">
        <v>1629</v>
      </c>
      <c r="I143" s="155">
        <v>290510</v>
      </c>
      <c r="J143" s="155">
        <v>232112</v>
      </c>
      <c r="K143" s="155">
        <v>46785</v>
      </c>
      <c r="L143" s="156">
        <v>4</v>
      </c>
      <c r="M143" s="62">
        <v>1781</v>
      </c>
      <c r="N143" s="62">
        <v>1729</v>
      </c>
      <c r="O143" s="157">
        <f>+N143/M143*100</f>
        <v>97.08029197080292</v>
      </c>
      <c r="P143" s="179">
        <f t="shared" si="21"/>
        <v>99.04548006737788</v>
      </c>
      <c r="Q143" s="199">
        <v>35</v>
      </c>
      <c r="R143" s="446"/>
      <c r="S143" s="144"/>
      <c r="T143" s="448"/>
    </row>
    <row r="144" spans="1:20" ht="12.75">
      <c r="A144" s="146">
        <v>8</v>
      </c>
      <c r="B144" s="151" t="s">
        <v>282</v>
      </c>
      <c r="C144" s="152">
        <f>(3.9+3.2+5.3+2.3)*1.4</f>
        <v>20.58</v>
      </c>
      <c r="D144" s="153">
        <v>33</v>
      </c>
      <c r="E144" s="155">
        <v>3000</v>
      </c>
      <c r="F144" s="152">
        <v>32.28</v>
      </c>
      <c r="G144" s="153">
        <v>30</v>
      </c>
      <c r="H144" s="155">
        <v>3349</v>
      </c>
      <c r="I144" s="155">
        <v>695796</v>
      </c>
      <c r="J144" s="155">
        <v>575311</v>
      </c>
      <c r="K144" s="155">
        <v>90435</v>
      </c>
      <c r="L144" s="156">
        <v>4.32</v>
      </c>
      <c r="M144" s="62">
        <v>3423</v>
      </c>
      <c r="N144" s="62">
        <v>3403</v>
      </c>
      <c r="O144" s="157">
        <f>+N144/M144*100</f>
        <v>99.41571720712825</v>
      </c>
      <c r="P144" s="179">
        <f t="shared" si="21"/>
        <v>99.76628688285129</v>
      </c>
      <c r="Q144" s="199">
        <v>12</v>
      </c>
      <c r="R144" s="446"/>
      <c r="S144" s="144"/>
      <c r="T144" s="448"/>
    </row>
    <row r="145" spans="1:20" ht="12.75">
      <c r="A145" s="146">
        <v>9</v>
      </c>
      <c r="B145" s="151" t="s">
        <v>283</v>
      </c>
      <c r="C145" s="152">
        <f>(5.2+1.9+3)*1.2</f>
        <v>12.12</v>
      </c>
      <c r="D145" s="153">
        <v>23</v>
      </c>
      <c r="E145" s="155">
        <v>1185</v>
      </c>
      <c r="F145" s="152">
        <v>22.49</v>
      </c>
      <c r="G145" s="153">
        <v>3</v>
      </c>
      <c r="H145" s="155">
        <v>1294</v>
      </c>
      <c r="I145" s="155">
        <v>195700</v>
      </c>
      <c r="J145" s="155">
        <v>163071</v>
      </c>
      <c r="K145" s="155">
        <v>19828</v>
      </c>
      <c r="L145" s="156">
        <v>6.54</v>
      </c>
      <c r="M145" s="62">
        <v>1566</v>
      </c>
      <c r="N145" s="62">
        <v>1519</v>
      </c>
      <c r="O145" s="157">
        <f t="shared" si="20"/>
        <v>96.99872286079183</v>
      </c>
      <c r="P145" s="179">
        <f t="shared" si="21"/>
        <v>99.23371647509579</v>
      </c>
      <c r="Q145" s="199">
        <v>35</v>
      </c>
      <c r="R145" s="446"/>
      <c r="S145" s="144"/>
      <c r="T145" s="448"/>
    </row>
    <row r="146" spans="1:20" ht="12.75">
      <c r="A146" s="146">
        <v>10</v>
      </c>
      <c r="B146" s="151" t="s">
        <v>284</v>
      </c>
      <c r="C146" s="152">
        <f>(7.5+2.3+2.7+3.2)*1.2</f>
        <v>18.84</v>
      </c>
      <c r="D146" s="153">
        <v>27</v>
      </c>
      <c r="E146" s="154">
        <v>1687.5</v>
      </c>
      <c r="F146" s="152">
        <v>26.4</v>
      </c>
      <c r="G146" s="153">
        <v>0</v>
      </c>
      <c r="H146" s="155">
        <v>1958</v>
      </c>
      <c r="I146" s="155">
        <v>408713</v>
      </c>
      <c r="J146" s="155">
        <v>317819</v>
      </c>
      <c r="K146" s="155">
        <v>64812</v>
      </c>
      <c r="L146" s="156">
        <v>6.38</v>
      </c>
      <c r="M146" s="62">
        <v>3083</v>
      </c>
      <c r="N146" s="62">
        <v>2980</v>
      </c>
      <c r="O146" s="157">
        <f>+N146/M146*100</f>
        <v>96.65909828089522</v>
      </c>
      <c r="P146" s="179">
        <f t="shared" si="21"/>
        <v>98.02140771975348</v>
      </c>
      <c r="Q146" s="199">
        <v>42</v>
      </c>
      <c r="R146" s="446"/>
      <c r="S146" s="144"/>
      <c r="T146" s="448"/>
    </row>
    <row r="147" spans="1:20" ht="12.75">
      <c r="A147" s="146">
        <v>11</v>
      </c>
      <c r="B147" s="151" t="s">
        <v>285</v>
      </c>
      <c r="C147" s="152">
        <f>(5.5+3.9+3.2+2.5)*1.5</f>
        <v>22.650000000000002</v>
      </c>
      <c r="D147" s="153">
        <v>35</v>
      </c>
      <c r="E147" s="155">
        <v>2855</v>
      </c>
      <c r="F147" s="152">
        <v>34.2</v>
      </c>
      <c r="G147" s="153">
        <v>27</v>
      </c>
      <c r="H147" s="155">
        <v>3429</v>
      </c>
      <c r="I147" s="155">
        <v>742176</v>
      </c>
      <c r="J147" s="155">
        <v>630344</v>
      </c>
      <c r="K147" s="155">
        <v>86988</v>
      </c>
      <c r="L147" s="156">
        <v>3.35</v>
      </c>
      <c r="M147" s="62">
        <v>3139</v>
      </c>
      <c r="N147" s="62">
        <v>3085</v>
      </c>
      <c r="O147" s="157">
        <f t="shared" si="20"/>
        <v>98.27970691302963</v>
      </c>
      <c r="P147" s="179">
        <f t="shared" si="21"/>
        <v>99.01242433896145</v>
      </c>
      <c r="Q147" s="199">
        <v>23</v>
      </c>
      <c r="R147" s="446"/>
      <c r="S147" s="144"/>
      <c r="T147" s="448"/>
    </row>
    <row r="148" spans="1:20" ht="12.75">
      <c r="A148" s="146">
        <v>12</v>
      </c>
      <c r="B148" s="151" t="s">
        <v>286</v>
      </c>
      <c r="C148" s="152">
        <f>(4.2+7.6+2.1)*1.5</f>
        <v>20.85</v>
      </c>
      <c r="D148" s="153">
        <v>29</v>
      </c>
      <c r="E148" s="154">
        <v>1907.5</v>
      </c>
      <c r="F148" s="152">
        <v>28.36</v>
      </c>
      <c r="G148" s="153">
        <v>12</v>
      </c>
      <c r="H148" s="155">
        <v>2051</v>
      </c>
      <c r="I148" s="155">
        <v>525990</v>
      </c>
      <c r="J148" s="155">
        <v>405682</v>
      </c>
      <c r="K148" s="155">
        <v>85805</v>
      </c>
      <c r="L148" s="156">
        <v>6.56</v>
      </c>
      <c r="M148" s="62">
        <v>2074</v>
      </c>
      <c r="N148" s="62">
        <v>2013</v>
      </c>
      <c r="O148" s="157">
        <f>+N148/M148*100</f>
        <v>97.05882352941177</v>
      </c>
      <c r="P148" s="179">
        <f t="shared" si="21"/>
        <v>99.08389585342333</v>
      </c>
      <c r="Q148" s="199">
        <v>42</v>
      </c>
      <c r="R148" s="446"/>
      <c r="S148" s="144"/>
      <c r="T148" s="448"/>
    </row>
    <row r="149" spans="1:20" ht="12.75">
      <c r="A149" s="146">
        <v>13</v>
      </c>
      <c r="B149" s="151" t="s">
        <v>287</v>
      </c>
      <c r="C149" s="152">
        <f>(5.6+1.8+1.2+0.8)*1.8</f>
        <v>16.92</v>
      </c>
      <c r="D149" s="153">
        <v>15</v>
      </c>
      <c r="E149" s="154">
        <v>1532.5</v>
      </c>
      <c r="F149" s="152">
        <v>14.67</v>
      </c>
      <c r="G149" s="153">
        <v>12</v>
      </c>
      <c r="H149" s="155">
        <v>3070</v>
      </c>
      <c r="I149" s="155">
        <v>607440</v>
      </c>
      <c r="J149" s="155">
        <v>463349</v>
      </c>
      <c r="K149" s="155">
        <v>47400</v>
      </c>
      <c r="L149" s="156">
        <v>15.92</v>
      </c>
      <c r="M149" s="62">
        <v>2102</v>
      </c>
      <c r="N149" s="62">
        <v>2047</v>
      </c>
      <c r="O149" s="157">
        <f>+N149/M149*100</f>
        <v>97.38344433872503</v>
      </c>
      <c r="P149" s="179">
        <f t="shared" si="21"/>
        <v>98.09705042816366</v>
      </c>
      <c r="Q149" s="199">
        <v>15</v>
      </c>
      <c r="R149" s="446"/>
      <c r="S149" s="144"/>
      <c r="T149" s="448"/>
    </row>
    <row r="150" spans="1:20" ht="12.75">
      <c r="A150" s="146">
        <v>14</v>
      </c>
      <c r="B150" s="151" t="s">
        <v>288</v>
      </c>
      <c r="C150" s="152">
        <f>(4.9+8.5+2.5)*1.2</f>
        <v>19.08</v>
      </c>
      <c r="D150" s="153">
        <v>21</v>
      </c>
      <c r="E150" s="155">
        <v>3825</v>
      </c>
      <c r="F150" s="152">
        <v>20.54</v>
      </c>
      <c r="G150" s="153">
        <v>40</v>
      </c>
      <c r="H150" s="155">
        <v>4842</v>
      </c>
      <c r="I150" s="155">
        <v>1101950</v>
      </c>
      <c r="J150" s="155">
        <v>933712</v>
      </c>
      <c r="K150" s="155">
        <v>124388</v>
      </c>
      <c r="L150" s="156">
        <v>3.98</v>
      </c>
      <c r="M150" s="62">
        <v>4369</v>
      </c>
      <c r="N150" s="62">
        <v>4345</v>
      </c>
      <c r="O150" s="157">
        <f t="shared" si="20"/>
        <v>99.45067521171893</v>
      </c>
      <c r="P150" s="179">
        <f t="shared" si="21"/>
        <v>99.51934081025406</v>
      </c>
      <c r="Q150" s="199">
        <v>3</v>
      </c>
      <c r="R150" s="446"/>
      <c r="S150" s="144"/>
      <c r="T150" s="448"/>
    </row>
    <row r="151" spans="1:17" ht="12.75">
      <c r="A151" s="182">
        <v>11</v>
      </c>
      <c r="B151" s="150" t="s">
        <v>141</v>
      </c>
      <c r="C151" s="149"/>
      <c r="D151" s="138"/>
      <c r="E151" s="139"/>
      <c r="F151" s="149"/>
      <c r="G151" s="140"/>
      <c r="H151" s="140"/>
      <c r="I151" s="141"/>
      <c r="J151" s="140"/>
      <c r="K151" s="140"/>
      <c r="L151" s="142"/>
      <c r="M151" s="62"/>
      <c r="N151" s="62"/>
      <c r="O151" s="143"/>
      <c r="P151" s="163"/>
      <c r="Q151" s="16"/>
    </row>
    <row r="152" spans="1:20" ht="12.75">
      <c r="A152" s="146">
        <v>1</v>
      </c>
      <c r="B152" s="151" t="s">
        <v>263</v>
      </c>
      <c r="C152" s="158">
        <v>13.1626</v>
      </c>
      <c r="D152" s="153">
        <v>21</v>
      </c>
      <c r="E152" s="159">
        <v>4440</v>
      </c>
      <c r="F152" s="158">
        <v>41.419</v>
      </c>
      <c r="G152" s="153">
        <v>112</v>
      </c>
      <c r="H152" s="159">
        <v>4187</v>
      </c>
      <c r="I152" s="159">
        <v>22910248</v>
      </c>
      <c r="J152" s="159">
        <v>19474058</v>
      </c>
      <c r="K152" s="159">
        <v>2666406</v>
      </c>
      <c r="L152" s="188">
        <f>ROUND((I152-J152-K152)/I152*100,2)</f>
        <v>3.36</v>
      </c>
      <c r="M152" s="62">
        <v>4616</v>
      </c>
      <c r="N152" s="62">
        <v>4616</v>
      </c>
      <c r="O152" s="157">
        <f>+(N152/M152)*100</f>
        <v>100</v>
      </c>
      <c r="P152" s="180">
        <f aca="true" t="shared" si="22" ref="P152:P165">(N152+Q152)/M152*100</f>
        <v>100</v>
      </c>
      <c r="Q152" s="199"/>
      <c r="R152" s="446"/>
      <c r="S152" s="144"/>
      <c r="T152" s="448"/>
    </row>
    <row r="153" spans="1:20" ht="12.75">
      <c r="A153" s="146">
        <v>2</v>
      </c>
      <c r="B153" s="151" t="s">
        <v>264</v>
      </c>
      <c r="C153" s="158">
        <v>16.163</v>
      </c>
      <c r="D153" s="153">
        <v>18</v>
      </c>
      <c r="E153" s="159">
        <v>1535</v>
      </c>
      <c r="F153" s="158">
        <v>21.438</v>
      </c>
      <c r="G153" s="153">
        <v>24</v>
      </c>
      <c r="H153" s="159">
        <v>1884</v>
      </c>
      <c r="I153" s="159">
        <v>3669994</v>
      </c>
      <c r="J153" s="159">
        <v>3272060</v>
      </c>
      <c r="K153" s="159">
        <v>224710</v>
      </c>
      <c r="L153" s="188">
        <f aca="true" t="shared" si="23" ref="L153:L163">ROUND((I153-J153-K153)/I153*100,2)</f>
        <v>4.72</v>
      </c>
      <c r="M153" s="62">
        <v>2200</v>
      </c>
      <c r="N153" s="62">
        <v>2142</v>
      </c>
      <c r="O153" s="157">
        <f aca="true" t="shared" si="24" ref="O153:O165">+(N153/M153)*100</f>
        <v>97.36363636363636</v>
      </c>
      <c r="P153" s="179">
        <f t="shared" si="22"/>
        <v>99.04545454545455</v>
      </c>
      <c r="Q153" s="199">
        <v>37</v>
      </c>
      <c r="R153" s="446"/>
      <c r="S153" s="144"/>
      <c r="T153" s="448"/>
    </row>
    <row r="154" spans="1:20" ht="12.75">
      <c r="A154" s="146">
        <v>3</v>
      </c>
      <c r="B154" s="151" t="s">
        <v>265</v>
      </c>
      <c r="C154" s="158">
        <v>8.662</v>
      </c>
      <c r="D154" s="153">
        <v>8</v>
      </c>
      <c r="E154" s="159">
        <v>872.5</v>
      </c>
      <c r="F154" s="158">
        <v>18.105</v>
      </c>
      <c r="G154" s="153">
        <v>35</v>
      </c>
      <c r="H154" s="159">
        <v>1998</v>
      </c>
      <c r="I154" s="159">
        <v>6191789</v>
      </c>
      <c r="J154" s="159">
        <v>5526366</v>
      </c>
      <c r="K154" s="159">
        <v>530442</v>
      </c>
      <c r="L154" s="188">
        <f t="shared" si="23"/>
        <v>2.18</v>
      </c>
      <c r="M154" s="62">
        <v>2185</v>
      </c>
      <c r="N154" s="62">
        <v>2097</v>
      </c>
      <c r="O154" s="157">
        <f t="shared" si="24"/>
        <v>95.97254004576658</v>
      </c>
      <c r="P154" s="179">
        <f t="shared" si="22"/>
        <v>98.07780320366133</v>
      </c>
      <c r="Q154" s="199">
        <v>46</v>
      </c>
      <c r="R154" s="446"/>
      <c r="S154" s="144"/>
      <c r="T154" s="448"/>
    </row>
    <row r="155" spans="1:20" ht="12.75">
      <c r="A155" s="146">
        <v>4</v>
      </c>
      <c r="B155" s="151" t="s">
        <v>266</v>
      </c>
      <c r="C155" s="158">
        <v>18.586</v>
      </c>
      <c r="D155" s="153">
        <v>24</v>
      </c>
      <c r="E155" s="159">
        <v>4875</v>
      </c>
      <c r="F155" s="158">
        <v>23.267</v>
      </c>
      <c r="G155" s="153">
        <v>129</v>
      </c>
      <c r="H155" s="159">
        <v>4606</v>
      </c>
      <c r="I155" s="159">
        <v>21350293</v>
      </c>
      <c r="J155" s="159">
        <v>17918647</v>
      </c>
      <c r="K155" s="159">
        <v>2306486</v>
      </c>
      <c r="L155" s="188">
        <f t="shared" si="23"/>
        <v>5.27</v>
      </c>
      <c r="M155" s="62">
        <v>3995</v>
      </c>
      <c r="N155" s="62">
        <v>3995</v>
      </c>
      <c r="O155" s="157">
        <f t="shared" si="24"/>
        <v>100</v>
      </c>
      <c r="P155" s="180">
        <f t="shared" si="22"/>
        <v>100</v>
      </c>
      <c r="Q155" s="199"/>
      <c r="R155" s="446"/>
      <c r="S155" s="144"/>
      <c r="T155" s="448"/>
    </row>
    <row r="156" spans="1:20" ht="12.75">
      <c r="A156" s="146">
        <v>5</v>
      </c>
      <c r="B156" s="151" t="s">
        <v>267</v>
      </c>
      <c r="C156" s="158">
        <v>10.2687</v>
      </c>
      <c r="D156" s="153">
        <v>18</v>
      </c>
      <c r="E156" s="159">
        <v>1787.5</v>
      </c>
      <c r="F156" s="158">
        <v>16.911</v>
      </c>
      <c r="G156" s="153">
        <v>16</v>
      </c>
      <c r="H156" s="159">
        <v>3288</v>
      </c>
      <c r="I156" s="159">
        <v>7877286</v>
      </c>
      <c r="J156" s="159">
        <v>7028951</v>
      </c>
      <c r="K156" s="159">
        <v>445018</v>
      </c>
      <c r="L156" s="188">
        <f t="shared" si="23"/>
        <v>5.12</v>
      </c>
      <c r="M156" s="62">
        <v>2853</v>
      </c>
      <c r="N156" s="62">
        <v>2758</v>
      </c>
      <c r="O156" s="157">
        <f t="shared" si="24"/>
        <v>96.6701717490361</v>
      </c>
      <c r="P156" s="179">
        <f t="shared" si="22"/>
        <v>98.07220469681037</v>
      </c>
      <c r="Q156" s="199">
        <v>40</v>
      </c>
      <c r="R156" s="446"/>
      <c r="S156" s="144"/>
      <c r="T156" s="448"/>
    </row>
    <row r="157" spans="1:20" ht="12.75">
      <c r="A157" s="146">
        <v>6</v>
      </c>
      <c r="B157" s="151" t="s">
        <v>268</v>
      </c>
      <c r="C157" s="158">
        <v>20.8415</v>
      </c>
      <c r="D157" s="153">
        <v>28</v>
      </c>
      <c r="E157" s="159">
        <v>2075</v>
      </c>
      <c r="F157" s="158">
        <v>28.569</v>
      </c>
      <c r="G157" s="153">
        <v>35</v>
      </c>
      <c r="H157" s="159">
        <v>2016</v>
      </c>
      <c r="I157" s="159">
        <v>5031785</v>
      </c>
      <c r="J157" s="159">
        <v>4590682</v>
      </c>
      <c r="K157" s="159">
        <v>281595</v>
      </c>
      <c r="L157" s="188">
        <f t="shared" si="23"/>
        <v>3.17</v>
      </c>
      <c r="M157" s="62">
        <v>2477</v>
      </c>
      <c r="N157" s="62">
        <v>2381</v>
      </c>
      <c r="O157" s="157">
        <f t="shared" si="24"/>
        <v>96.12434396447316</v>
      </c>
      <c r="P157" s="179">
        <f t="shared" si="22"/>
        <v>98.66774323778765</v>
      </c>
      <c r="Q157" s="199">
        <v>63</v>
      </c>
      <c r="R157" s="446"/>
      <c r="S157" s="144"/>
      <c r="T157" s="448"/>
    </row>
    <row r="158" spans="1:20" ht="12.75">
      <c r="A158" s="146">
        <v>7</v>
      </c>
      <c r="B158" s="151" t="s">
        <v>269</v>
      </c>
      <c r="C158" s="158">
        <v>21.734</v>
      </c>
      <c r="D158" s="153">
        <v>20</v>
      </c>
      <c r="E158" s="159">
        <v>2940</v>
      </c>
      <c r="F158" s="158">
        <v>23.768</v>
      </c>
      <c r="G158" s="153">
        <v>15</v>
      </c>
      <c r="H158" s="159">
        <v>2644</v>
      </c>
      <c r="I158" s="159">
        <v>4949510</v>
      </c>
      <c r="J158" s="159">
        <v>4419284</v>
      </c>
      <c r="K158" s="159">
        <v>252064</v>
      </c>
      <c r="L158" s="188">
        <f t="shared" si="23"/>
        <v>5.62</v>
      </c>
      <c r="M158" s="62">
        <v>2408</v>
      </c>
      <c r="N158" s="62">
        <v>2366</v>
      </c>
      <c r="O158" s="157">
        <f t="shared" si="24"/>
        <v>98.25581395348837</v>
      </c>
      <c r="P158" s="180">
        <f t="shared" si="22"/>
        <v>100</v>
      </c>
      <c r="Q158" s="199">
        <v>42</v>
      </c>
      <c r="R158" s="446"/>
      <c r="S158" s="144"/>
      <c r="T158" s="448"/>
    </row>
    <row r="159" spans="1:20" ht="12.75">
      <c r="A159" s="146">
        <v>8</v>
      </c>
      <c r="B159" s="151" t="s">
        <v>270</v>
      </c>
      <c r="C159" s="158">
        <v>14.1155</v>
      </c>
      <c r="D159" s="153">
        <v>13</v>
      </c>
      <c r="E159" s="159">
        <v>2225</v>
      </c>
      <c r="F159" s="158">
        <v>39.429</v>
      </c>
      <c r="G159" s="153">
        <v>19</v>
      </c>
      <c r="H159" s="159">
        <v>2333</v>
      </c>
      <c r="I159" s="159">
        <v>8709406</v>
      </c>
      <c r="J159" s="159">
        <v>7982118</v>
      </c>
      <c r="K159" s="159">
        <v>347558</v>
      </c>
      <c r="L159" s="188">
        <f t="shared" si="23"/>
        <v>4.36</v>
      </c>
      <c r="M159" s="62">
        <v>2533</v>
      </c>
      <c r="N159" s="62">
        <v>2429</v>
      </c>
      <c r="O159" s="157">
        <f t="shared" si="24"/>
        <v>95.89419660481643</v>
      </c>
      <c r="P159" s="179">
        <f t="shared" si="22"/>
        <v>99.01302803000395</v>
      </c>
      <c r="Q159" s="199">
        <v>79</v>
      </c>
      <c r="R159" s="446"/>
      <c r="S159" s="144"/>
      <c r="T159" s="448"/>
    </row>
    <row r="160" spans="1:20" ht="12.75">
      <c r="A160" s="146">
        <v>9</v>
      </c>
      <c r="B160" s="151" t="s">
        <v>271</v>
      </c>
      <c r="C160" s="158">
        <v>12.9565</v>
      </c>
      <c r="D160" s="153">
        <v>18</v>
      </c>
      <c r="E160" s="159">
        <v>1645</v>
      </c>
      <c r="F160" s="158">
        <v>18.985</v>
      </c>
      <c r="G160" s="153">
        <v>22</v>
      </c>
      <c r="H160" s="159">
        <v>2727</v>
      </c>
      <c r="I160" s="159">
        <v>6394883</v>
      </c>
      <c r="J160" s="159">
        <v>5562165</v>
      </c>
      <c r="K160" s="159">
        <v>433038</v>
      </c>
      <c r="L160" s="188">
        <f t="shared" si="23"/>
        <v>6.25</v>
      </c>
      <c r="M160" s="62">
        <v>2140</v>
      </c>
      <c r="N160" s="62">
        <v>2140</v>
      </c>
      <c r="O160" s="157">
        <f t="shared" si="24"/>
        <v>100</v>
      </c>
      <c r="P160" s="180">
        <f t="shared" si="22"/>
        <v>100</v>
      </c>
      <c r="Q160" s="199"/>
      <c r="R160" s="446"/>
      <c r="S160" s="144"/>
      <c r="T160" s="448"/>
    </row>
    <row r="161" spans="1:20" ht="12.75">
      <c r="A161" s="146">
        <v>10</v>
      </c>
      <c r="B161" s="151" t="s">
        <v>272</v>
      </c>
      <c r="C161" s="158">
        <v>35.527</v>
      </c>
      <c r="D161" s="153">
        <v>26</v>
      </c>
      <c r="E161" s="159">
        <v>2868</v>
      </c>
      <c r="F161" s="158">
        <v>35.75</v>
      </c>
      <c r="G161" s="153">
        <v>10</v>
      </c>
      <c r="H161" s="159">
        <v>1412</v>
      </c>
      <c r="I161" s="159">
        <v>11422146</v>
      </c>
      <c r="J161" s="159">
        <v>10006247</v>
      </c>
      <c r="K161" s="159">
        <v>938453</v>
      </c>
      <c r="L161" s="188">
        <f t="shared" si="23"/>
        <v>4.18</v>
      </c>
      <c r="M161" s="62">
        <v>4092</v>
      </c>
      <c r="N161" s="62">
        <v>4007</v>
      </c>
      <c r="O161" s="160">
        <f>+(N161/M161)*100</f>
        <v>97.9227761485826</v>
      </c>
      <c r="P161" s="179">
        <f t="shared" si="22"/>
        <v>98.82697947214076</v>
      </c>
      <c r="Q161" s="199">
        <v>37</v>
      </c>
      <c r="R161" s="446"/>
      <c r="S161" s="144"/>
      <c r="T161" s="448"/>
    </row>
    <row r="162" spans="1:20" ht="12.75">
      <c r="A162" s="146">
        <v>11</v>
      </c>
      <c r="B162" s="151" t="s">
        <v>273</v>
      </c>
      <c r="C162" s="158">
        <v>32.5441</v>
      </c>
      <c r="D162" s="153">
        <v>19</v>
      </c>
      <c r="E162" s="159">
        <v>1505</v>
      </c>
      <c r="F162" s="158">
        <v>22.436</v>
      </c>
      <c r="G162" s="153">
        <v>23</v>
      </c>
      <c r="H162" s="159">
        <v>2377</v>
      </c>
      <c r="I162" s="159">
        <v>1166478</v>
      </c>
      <c r="J162" s="159">
        <v>1046423</v>
      </c>
      <c r="K162" s="159">
        <v>74329</v>
      </c>
      <c r="L162" s="188">
        <f t="shared" si="23"/>
        <v>3.92</v>
      </c>
      <c r="M162" s="62">
        <v>3083</v>
      </c>
      <c r="N162" s="62">
        <v>2890</v>
      </c>
      <c r="O162" s="157">
        <f t="shared" si="24"/>
        <v>93.73986376905611</v>
      </c>
      <c r="P162" s="180">
        <f t="shared" si="22"/>
        <v>100</v>
      </c>
      <c r="Q162" s="199">
        <v>193</v>
      </c>
      <c r="R162" s="446"/>
      <c r="S162" s="144"/>
      <c r="T162" s="448"/>
    </row>
    <row r="163" spans="1:20" ht="12.75">
      <c r="A163" s="146">
        <v>12</v>
      </c>
      <c r="B163" s="151" t="s">
        <v>274</v>
      </c>
      <c r="C163" s="158">
        <v>39.118</v>
      </c>
      <c r="D163" s="153">
        <v>22</v>
      </c>
      <c r="E163" s="159">
        <v>1310</v>
      </c>
      <c r="F163" s="158">
        <v>15.623</v>
      </c>
      <c r="G163" s="153">
        <v>18</v>
      </c>
      <c r="H163" s="159">
        <v>1838</v>
      </c>
      <c r="I163" s="159">
        <v>5389736</v>
      </c>
      <c r="J163" s="159">
        <v>4826502</v>
      </c>
      <c r="K163" s="159">
        <v>290513</v>
      </c>
      <c r="L163" s="188">
        <f t="shared" si="23"/>
        <v>5.06</v>
      </c>
      <c r="M163" s="68">
        <v>2327</v>
      </c>
      <c r="N163" s="68">
        <v>2282</v>
      </c>
      <c r="O163" s="157">
        <f t="shared" si="24"/>
        <v>98.06617963042544</v>
      </c>
      <c r="P163" s="179">
        <f t="shared" si="22"/>
        <v>99.35539321014181</v>
      </c>
      <c r="Q163" s="199">
        <v>30</v>
      </c>
      <c r="R163" s="446"/>
      <c r="S163" s="144"/>
      <c r="T163" s="448"/>
    </row>
    <row r="164" spans="1:16" ht="12.75">
      <c r="A164" s="135"/>
      <c r="B164" s="164"/>
      <c r="C164" s="165"/>
      <c r="D164" s="166"/>
      <c r="E164" s="167"/>
      <c r="F164" s="165"/>
      <c r="G164" s="168"/>
      <c r="H164" s="168"/>
      <c r="I164" s="169"/>
      <c r="J164" s="168"/>
      <c r="K164" s="168"/>
      <c r="L164" s="170"/>
      <c r="M164" s="68"/>
      <c r="N164" s="68"/>
      <c r="O164" s="171"/>
      <c r="P164" s="200"/>
    </row>
    <row r="165" spans="1:17" ht="12.75">
      <c r="A165" s="172"/>
      <c r="B165" s="181" t="s">
        <v>303</v>
      </c>
      <c r="C165" s="184">
        <f aca="true" t="shared" si="25" ref="C165:K165">SUM(C17:C164)</f>
        <v>2758.256499999999</v>
      </c>
      <c r="D165" s="183">
        <f t="shared" si="25"/>
        <v>4083</v>
      </c>
      <c r="E165" s="345">
        <f t="shared" si="25"/>
        <v>545030.5</v>
      </c>
      <c r="F165" s="184">
        <f t="shared" si="25"/>
        <v>4143.650825</v>
      </c>
      <c r="G165" s="183">
        <f t="shared" si="25"/>
        <v>7305</v>
      </c>
      <c r="H165" s="183">
        <f t="shared" si="25"/>
        <v>354986</v>
      </c>
      <c r="I165" s="183">
        <f t="shared" si="25"/>
        <v>246093174.85292026</v>
      </c>
      <c r="J165" s="183">
        <f t="shared" si="25"/>
        <v>189983593</v>
      </c>
      <c r="K165" s="183">
        <f t="shared" si="25"/>
        <v>43938922</v>
      </c>
      <c r="L165" s="201">
        <f>(I165-J165-K165)/I165*100</f>
        <v>4.945549530251769</v>
      </c>
      <c r="M165" s="183">
        <f>SUM(M17:M164)</f>
        <v>392381</v>
      </c>
      <c r="N165" s="183">
        <f>SUM(N17:N164)</f>
        <v>383729</v>
      </c>
      <c r="O165" s="185">
        <f t="shared" si="24"/>
        <v>97.79500026759706</v>
      </c>
      <c r="P165" s="185">
        <f t="shared" si="22"/>
        <v>99.04404137815031</v>
      </c>
      <c r="Q165" s="183">
        <f>SUM(Q17:Q164)</f>
        <v>4901</v>
      </c>
    </row>
    <row r="167" ht="12.75">
      <c r="I167" s="334"/>
    </row>
    <row r="168" ht="12.75">
      <c r="I168" s="334"/>
    </row>
    <row r="169" ht="12.75">
      <c r="I169" s="334"/>
    </row>
    <row r="170" spans="9:10" ht="12.75">
      <c r="I170" s="334"/>
      <c r="J170" s="335"/>
    </row>
  </sheetData>
  <sheetProtection/>
  <mergeCells count="13">
    <mergeCell ref="A6:P6"/>
    <mergeCell ref="A7:P7"/>
    <mergeCell ref="A8:P8"/>
    <mergeCell ref="M10:O10"/>
    <mergeCell ref="A10:A13"/>
    <mergeCell ref="J11:K11"/>
    <mergeCell ref="C10:C12"/>
    <mergeCell ref="N11:N12"/>
    <mergeCell ref="O11:O12"/>
    <mergeCell ref="I11:I12"/>
    <mergeCell ref="D10:E10"/>
    <mergeCell ref="G10:H10"/>
    <mergeCell ref="I10:L10"/>
  </mergeCells>
  <printOptions horizontalCentered="1"/>
  <pageMargins left="0.25" right="0.2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pane ySplit="14" topLeftCell="BM87" activePane="bottomLeft" state="frozen"/>
      <selection pane="topLeft" activeCell="A1" sqref="A1"/>
      <selection pane="bottomLeft" activeCell="H69" sqref="H69"/>
    </sheetView>
  </sheetViews>
  <sheetFormatPr defaultColWidth="9.140625" defaultRowHeight="12.75"/>
  <cols>
    <col min="1" max="1" width="5.8515625" style="202" customWidth="1"/>
    <col min="2" max="2" width="13.8515625" style="202" customWidth="1"/>
    <col min="3" max="3" width="9.8515625" style="202" customWidth="1"/>
    <col min="4" max="4" width="9.421875" style="202" customWidth="1"/>
    <col min="5" max="5" width="11.140625" style="202" customWidth="1"/>
    <col min="6" max="7" width="9.140625" style="202" customWidth="1"/>
    <col min="8" max="8" width="9.421875" style="202" customWidth="1"/>
    <col min="9" max="12" width="9.140625" style="202" customWidth="1"/>
    <col min="13" max="13" width="9.7109375" style="202" customWidth="1"/>
    <col min="14" max="14" width="8.28125" style="202" customWidth="1"/>
    <col min="15" max="15" width="11.140625" style="202" customWidth="1"/>
    <col min="16" max="16384" width="9.140625" style="202" customWidth="1"/>
  </cols>
  <sheetData>
    <row r="1" spans="1:14" ht="15.75">
      <c r="A1" s="40" t="s">
        <v>178</v>
      </c>
      <c r="N1" s="89" t="s">
        <v>563</v>
      </c>
    </row>
    <row r="2" ht="15.75">
      <c r="A2" s="41" t="s">
        <v>179</v>
      </c>
    </row>
    <row r="3" ht="15.75">
      <c r="A3" s="41" t="s">
        <v>180</v>
      </c>
    </row>
    <row r="4" ht="15.75">
      <c r="A4" s="41"/>
    </row>
    <row r="5" ht="15.75">
      <c r="A5" s="41"/>
    </row>
    <row r="6" spans="1:15" ht="15.75">
      <c r="A6" s="507" t="s">
        <v>361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</row>
    <row r="7" spans="1:15" ht="15.75">
      <c r="A7" s="507" t="s">
        <v>392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</row>
    <row r="10" spans="1:15" s="74" customFormat="1" ht="12.75">
      <c r="A10" s="502" t="s">
        <v>0</v>
      </c>
      <c r="B10" s="479" t="s">
        <v>362</v>
      </c>
      <c r="C10" s="514" t="s">
        <v>363</v>
      </c>
      <c r="D10" s="511"/>
      <c r="E10" s="479" t="s">
        <v>371</v>
      </c>
      <c r="F10" s="510" t="s">
        <v>212</v>
      </c>
      <c r="G10" s="511"/>
      <c r="H10" s="514" t="s">
        <v>181</v>
      </c>
      <c r="I10" s="510"/>
      <c r="J10" s="511"/>
      <c r="K10" s="510" t="s">
        <v>405</v>
      </c>
      <c r="L10" s="511"/>
      <c r="M10" s="204" t="s">
        <v>159</v>
      </c>
      <c r="N10" s="204" t="s">
        <v>385</v>
      </c>
      <c r="O10" s="204" t="s">
        <v>388</v>
      </c>
    </row>
    <row r="11" spans="1:15" s="74" customFormat="1" ht="12.75">
      <c r="A11" s="503"/>
      <c r="B11" s="480"/>
      <c r="C11" s="204" t="s">
        <v>363</v>
      </c>
      <c r="D11" s="204" t="s">
        <v>367</v>
      </c>
      <c r="E11" s="480"/>
      <c r="F11" s="204" t="s">
        <v>372</v>
      </c>
      <c r="G11" s="204" t="s">
        <v>374</v>
      </c>
      <c r="H11" s="205" t="s">
        <v>372</v>
      </c>
      <c r="I11" s="512" t="s">
        <v>378</v>
      </c>
      <c r="J11" s="513"/>
      <c r="K11" s="204" t="s">
        <v>372</v>
      </c>
      <c r="L11" s="204" t="s">
        <v>374</v>
      </c>
      <c r="M11" s="205" t="s">
        <v>381</v>
      </c>
      <c r="N11" s="205" t="s">
        <v>386</v>
      </c>
      <c r="O11" s="205" t="s">
        <v>389</v>
      </c>
    </row>
    <row r="12" spans="1:15" s="74" customFormat="1" ht="12.75">
      <c r="A12" s="503"/>
      <c r="B12" s="480"/>
      <c r="C12" s="205" t="s">
        <v>364</v>
      </c>
      <c r="D12" s="205" t="s">
        <v>368</v>
      </c>
      <c r="E12" s="480"/>
      <c r="F12" s="205" t="s">
        <v>373</v>
      </c>
      <c r="G12" s="205" t="s">
        <v>375</v>
      </c>
      <c r="H12" s="205" t="s">
        <v>373</v>
      </c>
      <c r="I12" s="204" t="s">
        <v>379</v>
      </c>
      <c r="J12" s="204" t="s">
        <v>377</v>
      </c>
      <c r="K12" s="205" t="s">
        <v>373</v>
      </c>
      <c r="L12" s="205" t="s">
        <v>375</v>
      </c>
      <c r="M12" s="205" t="s">
        <v>382</v>
      </c>
      <c r="N12" s="205" t="s">
        <v>387</v>
      </c>
      <c r="O12" s="205" t="s">
        <v>390</v>
      </c>
    </row>
    <row r="13" spans="1:15" s="74" customFormat="1" ht="12.75">
      <c r="A13" s="503"/>
      <c r="B13" s="480"/>
      <c r="C13" s="205" t="s">
        <v>365</v>
      </c>
      <c r="D13" s="205" t="s">
        <v>369</v>
      </c>
      <c r="E13" s="480"/>
      <c r="F13" s="208"/>
      <c r="G13" s="205" t="s">
        <v>376</v>
      </c>
      <c r="H13" s="209"/>
      <c r="I13" s="205" t="s">
        <v>380</v>
      </c>
      <c r="J13" s="208"/>
      <c r="K13" s="208"/>
      <c r="L13" s="205" t="s">
        <v>376</v>
      </c>
      <c r="M13" s="205" t="s">
        <v>383</v>
      </c>
      <c r="N13" s="208"/>
      <c r="O13" s="205" t="s">
        <v>163</v>
      </c>
    </row>
    <row r="14" spans="1:15" s="74" customFormat="1" ht="12.75">
      <c r="A14" s="504"/>
      <c r="B14" s="481"/>
      <c r="C14" s="174" t="s">
        <v>366</v>
      </c>
      <c r="D14" s="174" t="s">
        <v>370</v>
      </c>
      <c r="E14" s="481"/>
      <c r="F14" s="210" t="s">
        <v>202</v>
      </c>
      <c r="G14" s="210" t="s">
        <v>202</v>
      </c>
      <c r="H14" s="210" t="s">
        <v>204</v>
      </c>
      <c r="I14" s="212" t="s">
        <v>203</v>
      </c>
      <c r="J14" s="210" t="s">
        <v>204</v>
      </c>
      <c r="K14" s="210" t="s">
        <v>202</v>
      </c>
      <c r="L14" s="210" t="s">
        <v>202</v>
      </c>
      <c r="M14" s="212" t="s">
        <v>384</v>
      </c>
      <c r="N14" s="210" t="s">
        <v>6</v>
      </c>
      <c r="O14" s="212" t="s">
        <v>391</v>
      </c>
    </row>
    <row r="15" spans="1:15" ht="15.75">
      <c r="A15" s="220" t="s">
        <v>167</v>
      </c>
      <c r="B15" s="221" t="s">
        <v>393</v>
      </c>
      <c r="C15" s="213"/>
      <c r="D15" s="217"/>
      <c r="E15" s="213"/>
      <c r="F15" s="234"/>
      <c r="G15" s="233"/>
      <c r="H15" s="484"/>
      <c r="I15" s="233"/>
      <c r="J15" s="234"/>
      <c r="K15" s="233"/>
      <c r="L15" s="234"/>
      <c r="M15" s="429"/>
      <c r="N15" s="234"/>
      <c r="O15" s="430"/>
    </row>
    <row r="16" spans="1:15" ht="15.75">
      <c r="A16" s="414">
        <v>1</v>
      </c>
      <c r="B16" s="515" t="s">
        <v>429</v>
      </c>
      <c r="C16" s="520">
        <v>7</v>
      </c>
      <c r="D16" s="520">
        <v>7</v>
      </c>
      <c r="E16" s="107" t="s">
        <v>422</v>
      </c>
      <c r="F16" s="125">
        <v>0.6</v>
      </c>
      <c r="G16" s="418">
        <v>0.18</v>
      </c>
      <c r="H16" s="124">
        <v>250</v>
      </c>
      <c r="I16" s="408">
        <v>2</v>
      </c>
      <c r="J16" s="124">
        <v>262.5</v>
      </c>
      <c r="K16" s="418">
        <v>1</v>
      </c>
      <c r="L16" s="125">
        <v>1.6</v>
      </c>
      <c r="M16" s="124">
        <v>985</v>
      </c>
      <c r="N16" s="124"/>
      <c r="O16" s="424">
        <v>2015</v>
      </c>
    </row>
    <row r="17" spans="1:15" ht="15.75">
      <c r="A17" s="414">
        <v>2</v>
      </c>
      <c r="B17" s="516"/>
      <c r="C17" s="519"/>
      <c r="D17" s="519"/>
      <c r="E17" s="92" t="s">
        <v>423</v>
      </c>
      <c r="F17" s="125">
        <v>0.5</v>
      </c>
      <c r="G17" s="418">
        <v>0.64</v>
      </c>
      <c r="H17" s="124">
        <v>250</v>
      </c>
      <c r="I17" s="408">
        <v>2</v>
      </c>
      <c r="J17" s="124">
        <v>300</v>
      </c>
      <c r="K17" s="418">
        <v>1</v>
      </c>
      <c r="L17" s="125">
        <v>1.5</v>
      </c>
      <c r="M17" s="419">
        <v>2630</v>
      </c>
      <c r="N17" s="124"/>
      <c r="O17" s="424">
        <v>2015</v>
      </c>
    </row>
    <row r="18" spans="1:15" ht="15.75">
      <c r="A18" s="414">
        <v>3</v>
      </c>
      <c r="B18" s="124"/>
      <c r="C18" s="408"/>
      <c r="D18" s="124"/>
      <c r="E18" s="101" t="s">
        <v>424</v>
      </c>
      <c r="F18" s="125">
        <v>0.4</v>
      </c>
      <c r="G18" s="408"/>
      <c r="H18" s="124">
        <v>400</v>
      </c>
      <c r="I18" s="408"/>
      <c r="J18" s="124"/>
      <c r="K18" s="418">
        <v>0.5</v>
      </c>
      <c r="L18" s="125">
        <v>0.9</v>
      </c>
      <c r="M18" s="419">
        <v>705</v>
      </c>
      <c r="N18" s="124"/>
      <c r="O18" s="424">
        <v>2015</v>
      </c>
    </row>
    <row r="19" spans="1:15" ht="15.75">
      <c r="A19" s="414">
        <v>4</v>
      </c>
      <c r="B19" s="124"/>
      <c r="C19" s="408"/>
      <c r="D19" s="124"/>
      <c r="E19" s="151" t="s">
        <v>425</v>
      </c>
      <c r="F19" s="124"/>
      <c r="G19" s="418">
        <v>2</v>
      </c>
      <c r="H19" s="124"/>
      <c r="I19" s="408">
        <v>2</v>
      </c>
      <c r="J19" s="124">
        <v>100</v>
      </c>
      <c r="K19" s="408"/>
      <c r="L19" s="124"/>
      <c r="M19" s="419">
        <v>1900</v>
      </c>
      <c r="N19" s="124">
        <v>37</v>
      </c>
      <c r="O19" s="424">
        <v>2015</v>
      </c>
    </row>
    <row r="20" spans="1:15" ht="15.75">
      <c r="A20" s="414">
        <v>5</v>
      </c>
      <c r="B20" s="124"/>
      <c r="C20" s="408"/>
      <c r="D20" s="124"/>
      <c r="E20" s="151" t="s">
        <v>426</v>
      </c>
      <c r="F20" s="124"/>
      <c r="G20" s="408"/>
      <c r="H20" s="124"/>
      <c r="I20" s="408"/>
      <c r="J20" s="124"/>
      <c r="K20" s="418">
        <v>2</v>
      </c>
      <c r="L20" s="125">
        <v>0.8</v>
      </c>
      <c r="M20" s="419">
        <v>460</v>
      </c>
      <c r="N20" s="124"/>
      <c r="O20" s="424">
        <v>2015</v>
      </c>
    </row>
    <row r="21" spans="1:15" ht="15.75">
      <c r="A21" s="414">
        <v>6</v>
      </c>
      <c r="B21" s="124"/>
      <c r="C21" s="408"/>
      <c r="D21" s="124"/>
      <c r="E21" s="151" t="s">
        <v>427</v>
      </c>
      <c r="F21" s="124"/>
      <c r="G21" s="408"/>
      <c r="H21" s="124"/>
      <c r="I21" s="408">
        <v>1</v>
      </c>
      <c r="J21" s="124">
        <v>50</v>
      </c>
      <c r="K21" s="418">
        <v>5</v>
      </c>
      <c r="L21" s="125">
        <v>3</v>
      </c>
      <c r="M21" s="419">
        <v>2150</v>
      </c>
      <c r="N21" s="124">
        <v>46</v>
      </c>
      <c r="O21" s="424">
        <v>2015</v>
      </c>
    </row>
    <row r="22" spans="1:15" ht="15.75">
      <c r="A22" s="410">
        <v>7</v>
      </c>
      <c r="B22" s="230"/>
      <c r="C22" s="229"/>
      <c r="D22" s="230"/>
      <c r="E22" s="330" t="s">
        <v>428</v>
      </c>
      <c r="F22" s="230"/>
      <c r="G22" s="229"/>
      <c r="H22" s="230">
        <v>640</v>
      </c>
      <c r="I22" s="229"/>
      <c r="J22" s="230"/>
      <c r="K22" s="425">
        <v>5</v>
      </c>
      <c r="L22" s="306">
        <v>2</v>
      </c>
      <c r="M22" s="427">
        <v>3450</v>
      </c>
      <c r="N22" s="230">
        <v>33</v>
      </c>
      <c r="O22" s="230">
        <v>2015</v>
      </c>
    </row>
    <row r="23" spans="1:15" ht="15.75">
      <c r="A23" s="415">
        <v>8</v>
      </c>
      <c r="B23" s="518" t="s">
        <v>430</v>
      </c>
      <c r="C23" s="502">
        <v>9</v>
      </c>
      <c r="D23" s="502">
        <v>9</v>
      </c>
      <c r="E23" s="266" t="s">
        <v>431</v>
      </c>
      <c r="F23" s="226"/>
      <c r="G23" s="457">
        <v>8</v>
      </c>
      <c r="H23" s="226"/>
      <c r="I23" s="459">
        <v>6</v>
      </c>
      <c r="J23" s="460">
        <v>225</v>
      </c>
      <c r="K23" s="225"/>
      <c r="L23" s="465">
        <v>10</v>
      </c>
      <c r="M23" s="466">
        <v>8394</v>
      </c>
      <c r="N23" s="226"/>
      <c r="O23" s="424">
        <v>2015</v>
      </c>
    </row>
    <row r="24" spans="1:15" ht="15.75">
      <c r="A24" s="414">
        <v>9</v>
      </c>
      <c r="B24" s="518"/>
      <c r="C24" s="503"/>
      <c r="D24" s="503"/>
      <c r="E24" s="115" t="s">
        <v>432</v>
      </c>
      <c r="F24" s="124"/>
      <c r="G24" s="449">
        <v>6</v>
      </c>
      <c r="H24" s="124"/>
      <c r="I24" s="461">
        <v>5</v>
      </c>
      <c r="J24" s="462">
        <v>212.5</v>
      </c>
      <c r="K24" s="408"/>
      <c r="L24" s="451">
        <v>7</v>
      </c>
      <c r="M24" s="450">
        <v>5660</v>
      </c>
      <c r="N24" s="124"/>
      <c r="O24" s="424">
        <v>2015</v>
      </c>
    </row>
    <row r="25" spans="1:15" ht="15.75">
      <c r="A25" s="414">
        <v>10</v>
      </c>
      <c r="B25" s="516"/>
      <c r="C25" s="519"/>
      <c r="D25" s="519"/>
      <c r="E25" s="115" t="s">
        <v>433</v>
      </c>
      <c r="F25" s="124"/>
      <c r="G25" s="449">
        <v>4</v>
      </c>
      <c r="H25" s="124"/>
      <c r="I25" s="461">
        <v>4</v>
      </c>
      <c r="J25" s="462">
        <v>175</v>
      </c>
      <c r="K25" s="408"/>
      <c r="L25" s="451">
        <v>4</v>
      </c>
      <c r="M25" s="450">
        <v>2830</v>
      </c>
      <c r="N25" s="124"/>
      <c r="O25" s="424">
        <v>2015</v>
      </c>
    </row>
    <row r="26" spans="1:15" ht="15.75">
      <c r="A26" s="414">
        <v>11</v>
      </c>
      <c r="B26" s="124"/>
      <c r="C26" s="408"/>
      <c r="D26" s="409"/>
      <c r="E26" s="115" t="s">
        <v>434</v>
      </c>
      <c r="F26" s="124"/>
      <c r="G26" s="449">
        <v>4.7</v>
      </c>
      <c r="H26" s="124"/>
      <c r="I26" s="461">
        <v>3</v>
      </c>
      <c r="J26" s="462">
        <v>112.5</v>
      </c>
      <c r="K26" s="408"/>
      <c r="L26" s="451">
        <v>3</v>
      </c>
      <c r="M26" s="450">
        <v>1420</v>
      </c>
      <c r="N26" s="124"/>
      <c r="O26" s="424">
        <v>2015</v>
      </c>
    </row>
    <row r="27" spans="1:15" ht="15.75">
      <c r="A27" s="414">
        <v>12</v>
      </c>
      <c r="B27" s="124"/>
      <c r="C27" s="408"/>
      <c r="D27" s="409"/>
      <c r="E27" s="115" t="s">
        <v>435</v>
      </c>
      <c r="F27" s="124"/>
      <c r="G27" s="449">
        <v>8</v>
      </c>
      <c r="H27" s="124"/>
      <c r="I27" s="461">
        <v>4</v>
      </c>
      <c r="J27" s="462">
        <v>187.5</v>
      </c>
      <c r="K27" s="408"/>
      <c r="L27" s="451">
        <v>7</v>
      </c>
      <c r="M27" s="450">
        <v>6716</v>
      </c>
      <c r="N27" s="124"/>
      <c r="O27" s="424">
        <v>2015</v>
      </c>
    </row>
    <row r="28" spans="1:15" ht="15.75">
      <c r="A28" s="414">
        <v>13</v>
      </c>
      <c r="B28" s="124"/>
      <c r="C28" s="408"/>
      <c r="D28" s="409"/>
      <c r="E28" s="115" t="s">
        <v>436</v>
      </c>
      <c r="F28" s="124"/>
      <c r="G28" s="449">
        <v>4</v>
      </c>
      <c r="H28" s="124"/>
      <c r="I28" s="461">
        <v>3</v>
      </c>
      <c r="J28" s="462">
        <v>112.5</v>
      </c>
      <c r="K28" s="408"/>
      <c r="L28" s="451">
        <v>4.5</v>
      </c>
      <c r="M28" s="469">
        <v>2924</v>
      </c>
      <c r="N28" s="124">
        <v>9</v>
      </c>
      <c r="O28" s="424">
        <v>2015</v>
      </c>
    </row>
    <row r="29" spans="1:15" ht="15.75">
      <c r="A29" s="414">
        <v>14</v>
      </c>
      <c r="B29" s="124"/>
      <c r="C29" s="408"/>
      <c r="D29" s="409"/>
      <c r="E29" s="115" t="s">
        <v>437</v>
      </c>
      <c r="F29" s="124"/>
      <c r="G29" s="449">
        <v>5.9</v>
      </c>
      <c r="H29" s="124"/>
      <c r="I29" s="461">
        <v>5</v>
      </c>
      <c r="J29" s="462">
        <v>175</v>
      </c>
      <c r="K29" s="408"/>
      <c r="L29" s="451">
        <v>5.1</v>
      </c>
      <c r="M29" s="469">
        <v>3670</v>
      </c>
      <c r="N29" s="124">
        <v>3</v>
      </c>
      <c r="O29" s="424">
        <v>2015</v>
      </c>
    </row>
    <row r="30" spans="1:15" ht="15.75">
      <c r="A30" s="414">
        <v>15</v>
      </c>
      <c r="B30" s="124"/>
      <c r="C30" s="408"/>
      <c r="D30" s="409"/>
      <c r="E30" s="115" t="s">
        <v>438</v>
      </c>
      <c r="F30" s="124"/>
      <c r="G30" s="449">
        <v>6.5</v>
      </c>
      <c r="H30" s="124"/>
      <c r="I30" s="461">
        <v>4</v>
      </c>
      <c r="J30" s="462">
        <v>162.5</v>
      </c>
      <c r="K30" s="408"/>
      <c r="L30" s="451">
        <v>5.5</v>
      </c>
      <c r="M30" s="450">
        <v>3864</v>
      </c>
      <c r="N30" s="124"/>
      <c r="O30" s="424">
        <v>2015</v>
      </c>
    </row>
    <row r="31" spans="1:15" ht="15.75">
      <c r="A31" s="410">
        <v>16</v>
      </c>
      <c r="B31" s="230"/>
      <c r="C31" s="229"/>
      <c r="D31" s="410"/>
      <c r="E31" s="282" t="s">
        <v>439</v>
      </c>
      <c r="F31" s="230"/>
      <c r="G31" s="458">
        <v>8</v>
      </c>
      <c r="H31" s="230"/>
      <c r="I31" s="463">
        <v>5</v>
      </c>
      <c r="J31" s="464">
        <v>175</v>
      </c>
      <c r="K31" s="229"/>
      <c r="L31" s="468">
        <v>6.5</v>
      </c>
      <c r="M31" s="467">
        <v>5848</v>
      </c>
      <c r="N31" s="230">
        <v>12</v>
      </c>
      <c r="O31" s="230">
        <v>2015</v>
      </c>
    </row>
    <row r="32" spans="1:15" ht="15.75">
      <c r="A32" s="415">
        <v>17</v>
      </c>
      <c r="B32" s="517" t="s">
        <v>12</v>
      </c>
      <c r="C32" s="502">
        <v>16</v>
      </c>
      <c r="D32" s="502">
        <v>15</v>
      </c>
      <c r="E32" s="124" t="s">
        <v>440</v>
      </c>
      <c r="F32" s="226"/>
      <c r="G32" s="428">
        <v>3</v>
      </c>
      <c r="H32" s="226"/>
      <c r="I32" s="225">
        <f>1+2</f>
        <v>3</v>
      </c>
      <c r="J32" s="226">
        <f>112.5+320</f>
        <v>432.5</v>
      </c>
      <c r="K32" s="225">
        <v>8.945</v>
      </c>
      <c r="L32" s="433">
        <v>8</v>
      </c>
      <c r="M32" s="426">
        <f>2014+2600</f>
        <v>4614</v>
      </c>
      <c r="N32" s="226"/>
      <c r="O32" s="424">
        <v>2015</v>
      </c>
    </row>
    <row r="33" spans="1:15" ht="15.75">
      <c r="A33" s="414">
        <v>18</v>
      </c>
      <c r="B33" s="518"/>
      <c r="C33" s="503"/>
      <c r="D33" s="503"/>
      <c r="E33" s="124" t="s">
        <v>441</v>
      </c>
      <c r="F33" s="124"/>
      <c r="G33" s="418">
        <v>4</v>
      </c>
      <c r="H33" s="124"/>
      <c r="I33" s="408">
        <v>5</v>
      </c>
      <c r="J33" s="124">
        <v>375</v>
      </c>
      <c r="K33" s="418">
        <v>22.96</v>
      </c>
      <c r="L33" s="125">
        <v>6</v>
      </c>
      <c r="M33" s="419">
        <v>6942</v>
      </c>
      <c r="N33" s="124">
        <v>7</v>
      </c>
      <c r="O33" s="424">
        <v>2015</v>
      </c>
    </row>
    <row r="34" spans="1:15" ht="15.75">
      <c r="A34" s="414">
        <v>19</v>
      </c>
      <c r="B34" s="516"/>
      <c r="C34" s="519"/>
      <c r="D34" s="519"/>
      <c r="E34" s="124" t="s">
        <v>442</v>
      </c>
      <c r="F34" s="124"/>
      <c r="G34" s="418">
        <f>2.2+4.5</f>
        <v>6.7</v>
      </c>
      <c r="H34" s="124"/>
      <c r="I34" s="408">
        <f>2+3</f>
        <v>5</v>
      </c>
      <c r="J34" s="124">
        <f>75+150</f>
        <v>225</v>
      </c>
      <c r="K34" s="408">
        <v>17.826</v>
      </c>
      <c r="L34" s="125">
        <f>2.4+2</f>
        <v>4.4</v>
      </c>
      <c r="M34" s="419">
        <f>4375+2400</f>
        <v>6775</v>
      </c>
      <c r="N34" s="124">
        <v>9</v>
      </c>
      <c r="O34" s="424">
        <v>2015</v>
      </c>
    </row>
    <row r="35" spans="1:15" ht="15.75">
      <c r="A35" s="414">
        <v>20</v>
      </c>
      <c r="B35" s="124"/>
      <c r="C35" s="408"/>
      <c r="D35" s="409"/>
      <c r="E35" s="124" t="s">
        <v>443</v>
      </c>
      <c r="F35" s="124"/>
      <c r="G35" s="418">
        <v>2.8</v>
      </c>
      <c r="H35" s="124"/>
      <c r="I35" s="408">
        <v>2</v>
      </c>
      <c r="J35" s="124">
        <v>225</v>
      </c>
      <c r="K35" s="418">
        <v>24.031000000000002</v>
      </c>
      <c r="L35" s="125">
        <v>3.6</v>
      </c>
      <c r="M35" s="419">
        <v>6376</v>
      </c>
      <c r="N35" s="124"/>
      <c r="O35" s="424">
        <v>2015</v>
      </c>
    </row>
    <row r="36" spans="1:15" ht="15.75">
      <c r="A36" s="414">
        <v>21</v>
      </c>
      <c r="B36" s="124"/>
      <c r="C36" s="408"/>
      <c r="D36" s="409"/>
      <c r="E36" s="124" t="s">
        <v>444</v>
      </c>
      <c r="F36" s="124"/>
      <c r="G36" s="418">
        <f>0.6+2</f>
        <v>2.6</v>
      </c>
      <c r="H36" s="124"/>
      <c r="I36" s="408">
        <f>1+1</f>
        <v>2</v>
      </c>
      <c r="J36" s="124">
        <f>75+50</f>
        <v>125</v>
      </c>
      <c r="K36" s="408">
        <v>19.312</v>
      </c>
      <c r="L36" s="125">
        <v>1.2</v>
      </c>
      <c r="M36" s="419">
        <f>4629+800</f>
        <v>5429</v>
      </c>
      <c r="N36" s="124"/>
      <c r="O36" s="424">
        <v>2015</v>
      </c>
    </row>
    <row r="37" spans="1:15" ht="15.75">
      <c r="A37" s="414">
        <v>22</v>
      </c>
      <c r="B37" s="124"/>
      <c r="C37" s="408"/>
      <c r="D37" s="409"/>
      <c r="E37" s="124" t="s">
        <v>445</v>
      </c>
      <c r="F37" s="124"/>
      <c r="G37" s="408"/>
      <c r="H37" s="124"/>
      <c r="I37" s="408"/>
      <c r="J37" s="124"/>
      <c r="K37" s="418">
        <v>7.42</v>
      </c>
      <c r="L37" s="124"/>
      <c r="M37" s="419">
        <v>1484</v>
      </c>
      <c r="N37" s="124"/>
      <c r="O37" s="424">
        <v>2015</v>
      </c>
    </row>
    <row r="38" spans="1:15" ht="15.75">
      <c r="A38" s="414">
        <v>23</v>
      </c>
      <c r="B38" s="124"/>
      <c r="C38" s="408"/>
      <c r="D38" s="409"/>
      <c r="E38" s="124" t="s">
        <v>446</v>
      </c>
      <c r="F38" s="124"/>
      <c r="G38" s="418">
        <v>2.1</v>
      </c>
      <c r="H38" s="124"/>
      <c r="I38" s="408">
        <v>2</v>
      </c>
      <c r="J38" s="124">
        <v>100</v>
      </c>
      <c r="K38" s="418">
        <v>20.511999999999997</v>
      </c>
      <c r="L38" s="125">
        <v>2.4</v>
      </c>
      <c r="M38" s="419">
        <v>5022</v>
      </c>
      <c r="N38" s="124"/>
      <c r="O38" s="424">
        <v>2015</v>
      </c>
    </row>
    <row r="39" spans="1:15" ht="15.75">
      <c r="A39" s="414">
        <v>24</v>
      </c>
      <c r="B39" s="124"/>
      <c r="C39" s="408"/>
      <c r="D39" s="409"/>
      <c r="E39" s="124" t="s">
        <v>447</v>
      </c>
      <c r="F39" s="124"/>
      <c r="G39" s="408"/>
      <c r="H39" s="124"/>
      <c r="I39" s="408"/>
      <c r="J39" s="124"/>
      <c r="K39" s="408">
        <v>2.053</v>
      </c>
      <c r="L39" s="124"/>
      <c r="M39" s="419">
        <v>411</v>
      </c>
      <c r="N39" s="124"/>
      <c r="O39" s="424">
        <v>2015</v>
      </c>
    </row>
    <row r="40" spans="1:15" ht="15.75">
      <c r="A40" s="414">
        <v>25</v>
      </c>
      <c r="B40" s="124"/>
      <c r="C40" s="408"/>
      <c r="D40" s="409"/>
      <c r="E40" s="124" t="s">
        <v>448</v>
      </c>
      <c r="F40" s="125">
        <v>0.35</v>
      </c>
      <c r="G40" s="418">
        <v>4.25</v>
      </c>
      <c r="H40" s="124"/>
      <c r="I40" s="408">
        <v>4</v>
      </c>
      <c r="J40" s="124">
        <v>250</v>
      </c>
      <c r="K40" s="418">
        <v>20.71</v>
      </c>
      <c r="L40" s="125">
        <v>4.8</v>
      </c>
      <c r="M40" s="419">
        <v>6204</v>
      </c>
      <c r="N40" s="124"/>
      <c r="O40" s="424">
        <v>2015</v>
      </c>
    </row>
    <row r="41" spans="1:15" ht="15.75">
      <c r="A41" s="414">
        <v>26</v>
      </c>
      <c r="B41" s="124"/>
      <c r="C41" s="408"/>
      <c r="D41" s="409"/>
      <c r="E41" s="124" t="s">
        <v>449</v>
      </c>
      <c r="F41" s="124"/>
      <c r="G41" s="408"/>
      <c r="H41" s="124"/>
      <c r="I41" s="408"/>
      <c r="J41" s="124"/>
      <c r="K41" s="408">
        <v>12.013</v>
      </c>
      <c r="L41" s="124"/>
      <c r="M41" s="127">
        <v>2403</v>
      </c>
      <c r="N41" s="124"/>
      <c r="O41" s="424">
        <v>2015</v>
      </c>
    </row>
    <row r="42" spans="1:15" ht="15.75">
      <c r="A42" s="414">
        <v>27</v>
      </c>
      <c r="B42" s="124"/>
      <c r="C42" s="408"/>
      <c r="D42" s="409"/>
      <c r="E42" s="124" t="s">
        <v>450</v>
      </c>
      <c r="F42" s="124"/>
      <c r="G42" s="418">
        <v>4.5</v>
      </c>
      <c r="H42" s="124"/>
      <c r="I42" s="408">
        <v>4</v>
      </c>
      <c r="J42" s="124">
        <v>300</v>
      </c>
      <c r="K42" s="418">
        <v>9.488999999999999</v>
      </c>
      <c r="L42" s="125">
        <v>4.8</v>
      </c>
      <c r="M42" s="419">
        <v>4595</v>
      </c>
      <c r="N42" s="124"/>
      <c r="O42" s="424">
        <v>2015</v>
      </c>
    </row>
    <row r="43" spans="1:15" ht="15.75">
      <c r="A43" s="414">
        <v>28</v>
      </c>
      <c r="B43" s="124"/>
      <c r="C43" s="408"/>
      <c r="D43" s="409"/>
      <c r="E43" s="124" t="s">
        <v>451</v>
      </c>
      <c r="F43" s="124"/>
      <c r="G43" s="408"/>
      <c r="H43" s="124"/>
      <c r="I43" s="408"/>
      <c r="J43" s="124"/>
      <c r="K43" s="408">
        <v>7.175</v>
      </c>
      <c r="L43" s="124"/>
      <c r="M43" s="419">
        <v>1435</v>
      </c>
      <c r="N43" s="124"/>
      <c r="O43" s="424">
        <v>2015</v>
      </c>
    </row>
    <row r="44" spans="1:15" ht="15.75">
      <c r="A44" s="414">
        <v>29</v>
      </c>
      <c r="B44" s="124"/>
      <c r="C44" s="408"/>
      <c r="D44" s="409"/>
      <c r="E44" s="124" t="s">
        <v>452</v>
      </c>
      <c r="F44" s="124"/>
      <c r="G44" s="408"/>
      <c r="H44" s="124"/>
      <c r="I44" s="408"/>
      <c r="J44" s="124"/>
      <c r="K44" s="418">
        <v>8.4</v>
      </c>
      <c r="L44" s="124"/>
      <c r="M44" s="419">
        <v>1680</v>
      </c>
      <c r="N44" s="124"/>
      <c r="O44" s="424">
        <v>2015</v>
      </c>
    </row>
    <row r="45" spans="1:15" ht="15.75">
      <c r="A45" s="414">
        <v>30</v>
      </c>
      <c r="B45" s="124"/>
      <c r="C45" s="408"/>
      <c r="D45" s="409"/>
      <c r="E45" s="124" t="s">
        <v>453</v>
      </c>
      <c r="F45" s="124"/>
      <c r="G45" s="408"/>
      <c r="H45" s="124"/>
      <c r="I45" s="408"/>
      <c r="J45" s="124"/>
      <c r="K45" s="408">
        <v>12.714</v>
      </c>
      <c r="L45" s="124"/>
      <c r="M45" s="419">
        <v>2543</v>
      </c>
      <c r="N45" s="124"/>
      <c r="O45" s="424">
        <v>2015</v>
      </c>
    </row>
    <row r="46" spans="1:15" ht="15.75">
      <c r="A46" s="410">
        <v>31</v>
      </c>
      <c r="B46" s="230"/>
      <c r="C46" s="229"/>
      <c r="D46" s="410"/>
      <c r="E46" s="230" t="s">
        <v>454</v>
      </c>
      <c r="F46" s="230"/>
      <c r="G46" s="425">
        <v>6.5</v>
      </c>
      <c r="H46" s="230"/>
      <c r="I46" s="229">
        <v>4</v>
      </c>
      <c r="J46" s="230">
        <v>200</v>
      </c>
      <c r="K46" s="229"/>
      <c r="L46" s="306">
        <v>4</v>
      </c>
      <c r="M46" s="427">
        <v>3200</v>
      </c>
      <c r="N46" s="230">
        <v>36</v>
      </c>
      <c r="O46" s="230">
        <v>2015</v>
      </c>
    </row>
    <row r="47" spans="1:15" ht="15.75">
      <c r="A47" s="415">
        <v>32</v>
      </c>
      <c r="B47" s="518" t="s">
        <v>27</v>
      </c>
      <c r="C47" s="503">
        <v>10</v>
      </c>
      <c r="D47" s="503">
        <v>10</v>
      </c>
      <c r="E47" s="226" t="s">
        <v>456</v>
      </c>
      <c r="F47" s="226"/>
      <c r="G47" s="428">
        <v>3.1</v>
      </c>
      <c r="H47" s="226"/>
      <c r="I47" s="225">
        <v>3</v>
      </c>
      <c r="J47" s="226">
        <v>75</v>
      </c>
      <c r="K47" s="428">
        <v>15.226499999999998</v>
      </c>
      <c r="L47" s="433">
        <v>3.6</v>
      </c>
      <c r="M47" s="426">
        <v>4175</v>
      </c>
      <c r="N47" s="226">
        <v>2</v>
      </c>
      <c r="O47" s="424">
        <v>2015</v>
      </c>
    </row>
    <row r="48" spans="1:15" ht="15.75">
      <c r="A48" s="414">
        <v>33</v>
      </c>
      <c r="B48" s="518"/>
      <c r="C48" s="503"/>
      <c r="D48" s="503"/>
      <c r="E48" s="124" t="s">
        <v>457</v>
      </c>
      <c r="F48" s="125">
        <v>8.1</v>
      </c>
      <c r="G48" s="418">
        <v>6</v>
      </c>
      <c r="H48" s="127">
        <v>1125</v>
      </c>
      <c r="I48" s="408">
        <v>7</v>
      </c>
      <c r="J48" s="124">
        <v>175</v>
      </c>
      <c r="K48" s="418">
        <v>41.897225</v>
      </c>
      <c r="L48" s="125">
        <v>8.4</v>
      </c>
      <c r="M48" s="419">
        <v>10846</v>
      </c>
      <c r="N48" s="124">
        <v>23</v>
      </c>
      <c r="O48" s="424">
        <v>2015</v>
      </c>
    </row>
    <row r="49" spans="1:15" ht="15.75">
      <c r="A49" s="414">
        <v>34</v>
      </c>
      <c r="B49" s="516"/>
      <c r="C49" s="519"/>
      <c r="D49" s="519"/>
      <c r="E49" s="124" t="s">
        <v>458</v>
      </c>
      <c r="F49" s="124"/>
      <c r="G49" s="418">
        <v>7.3</v>
      </c>
      <c r="H49" s="124"/>
      <c r="I49" s="408">
        <v>8</v>
      </c>
      <c r="J49" s="124">
        <v>300</v>
      </c>
      <c r="K49" s="418">
        <v>23.594</v>
      </c>
      <c r="L49" s="125">
        <v>9.6</v>
      </c>
      <c r="M49" s="419">
        <v>7488</v>
      </c>
      <c r="N49" s="124">
        <v>25</v>
      </c>
      <c r="O49" s="424">
        <v>2015</v>
      </c>
    </row>
    <row r="50" spans="1:15" ht="15.75">
      <c r="A50" s="414">
        <v>35</v>
      </c>
      <c r="B50" s="124"/>
      <c r="C50" s="408"/>
      <c r="D50" s="409"/>
      <c r="E50" s="115" t="s">
        <v>459</v>
      </c>
      <c r="F50" s="124"/>
      <c r="G50" s="418">
        <v>8.7</v>
      </c>
      <c r="H50" s="124"/>
      <c r="I50" s="408">
        <v>9</v>
      </c>
      <c r="J50" s="124">
        <v>275</v>
      </c>
      <c r="K50" s="408"/>
      <c r="L50" s="125">
        <v>5.5</v>
      </c>
      <c r="M50" s="419">
        <v>5314</v>
      </c>
      <c r="N50" s="124"/>
      <c r="O50" s="424">
        <v>2015</v>
      </c>
    </row>
    <row r="51" spans="1:15" ht="15.75">
      <c r="A51" s="414">
        <v>36</v>
      </c>
      <c r="B51" s="124"/>
      <c r="C51" s="408"/>
      <c r="D51" s="409"/>
      <c r="E51" s="115" t="s">
        <v>460</v>
      </c>
      <c r="F51" s="124"/>
      <c r="G51" s="418">
        <v>6.5</v>
      </c>
      <c r="H51" s="124"/>
      <c r="I51" s="408">
        <v>4</v>
      </c>
      <c r="J51" s="124">
        <v>125</v>
      </c>
      <c r="K51" s="408"/>
      <c r="L51" s="125">
        <v>5</v>
      </c>
      <c r="M51" s="419">
        <v>3916</v>
      </c>
      <c r="N51" s="124"/>
      <c r="O51" s="424">
        <v>2015</v>
      </c>
    </row>
    <row r="52" spans="1:15" ht="15.75">
      <c r="A52" s="414">
        <v>37</v>
      </c>
      <c r="B52" s="124"/>
      <c r="C52" s="408"/>
      <c r="D52" s="409"/>
      <c r="E52" s="115" t="s">
        <v>461</v>
      </c>
      <c r="F52" s="125">
        <v>2.37</v>
      </c>
      <c r="G52" s="408"/>
      <c r="H52" s="124">
        <v>450</v>
      </c>
      <c r="I52" s="408"/>
      <c r="J52" s="124"/>
      <c r="K52" s="408">
        <v>27.467</v>
      </c>
      <c r="L52" s="124">
        <v>7.839</v>
      </c>
      <c r="M52" s="419">
        <v>9514</v>
      </c>
      <c r="N52" s="124">
        <v>15</v>
      </c>
      <c r="O52" s="424">
        <v>2015</v>
      </c>
    </row>
    <row r="53" spans="1:15" ht="15.75">
      <c r="A53" s="414">
        <v>38</v>
      </c>
      <c r="B53" s="124"/>
      <c r="C53" s="408"/>
      <c r="D53" s="409"/>
      <c r="E53" s="115" t="s">
        <v>462</v>
      </c>
      <c r="F53" s="124"/>
      <c r="G53" s="418">
        <v>5</v>
      </c>
      <c r="H53" s="124"/>
      <c r="I53" s="408">
        <v>4</v>
      </c>
      <c r="J53" s="124">
        <v>225</v>
      </c>
      <c r="K53" s="408">
        <v>6.167</v>
      </c>
      <c r="L53" s="124">
        <v>11.834</v>
      </c>
      <c r="M53" s="419">
        <v>6486</v>
      </c>
      <c r="N53" s="124"/>
      <c r="O53" s="424">
        <v>2015</v>
      </c>
    </row>
    <row r="54" spans="1:15" ht="15.75">
      <c r="A54" s="414">
        <v>39</v>
      </c>
      <c r="B54" s="124"/>
      <c r="C54" s="408"/>
      <c r="D54" s="409"/>
      <c r="E54" s="115" t="s">
        <v>463</v>
      </c>
      <c r="F54" s="124"/>
      <c r="G54" s="418">
        <v>1.5</v>
      </c>
      <c r="H54" s="124"/>
      <c r="I54" s="408">
        <v>1</v>
      </c>
      <c r="J54" s="124">
        <v>50</v>
      </c>
      <c r="K54" s="408">
        <v>11.531</v>
      </c>
      <c r="L54" s="125">
        <v>3.2</v>
      </c>
      <c r="M54" s="419">
        <v>3811</v>
      </c>
      <c r="N54" s="124"/>
      <c r="O54" s="424">
        <v>2015</v>
      </c>
    </row>
    <row r="55" spans="1:15" ht="15.75">
      <c r="A55" s="414">
        <v>40</v>
      </c>
      <c r="B55" s="124"/>
      <c r="C55" s="408"/>
      <c r="D55" s="409"/>
      <c r="E55" s="115" t="s">
        <v>464</v>
      </c>
      <c r="F55" s="124"/>
      <c r="G55" s="418">
        <v>2.5</v>
      </c>
      <c r="H55" s="124"/>
      <c r="I55" s="408">
        <v>4</v>
      </c>
      <c r="J55" s="124">
        <v>550</v>
      </c>
      <c r="K55" s="408">
        <v>17.333</v>
      </c>
      <c r="L55" s="124">
        <v>6.975</v>
      </c>
      <c r="M55" s="419">
        <v>6861</v>
      </c>
      <c r="N55" s="124"/>
      <c r="O55" s="424">
        <v>2015</v>
      </c>
    </row>
    <row r="56" spans="1:15" ht="15.75" customHeight="1">
      <c r="A56" s="416">
        <v>41</v>
      </c>
      <c r="B56" s="230"/>
      <c r="C56" s="229"/>
      <c r="D56" s="410"/>
      <c r="E56" s="282" t="s">
        <v>465</v>
      </c>
      <c r="F56" s="230"/>
      <c r="G56" s="425">
        <v>0.8</v>
      </c>
      <c r="H56" s="230"/>
      <c r="I56" s="229">
        <v>2</v>
      </c>
      <c r="J56" s="230">
        <v>225</v>
      </c>
      <c r="K56" s="425">
        <v>23.8</v>
      </c>
      <c r="L56" s="306">
        <v>4.8</v>
      </c>
      <c r="M56" s="427">
        <v>6805</v>
      </c>
      <c r="N56" s="230"/>
      <c r="O56" s="230">
        <v>2015</v>
      </c>
    </row>
    <row r="57" spans="1:15" ht="15.75">
      <c r="A57" s="415">
        <v>42</v>
      </c>
      <c r="B57" s="518" t="s">
        <v>31</v>
      </c>
      <c r="C57" s="503">
        <v>11</v>
      </c>
      <c r="D57" s="503">
        <v>10</v>
      </c>
      <c r="E57" s="226" t="s">
        <v>466</v>
      </c>
      <c r="F57" s="226"/>
      <c r="G57" s="225"/>
      <c r="H57" s="226"/>
      <c r="I57" s="225"/>
      <c r="J57" s="226"/>
      <c r="K57" s="225"/>
      <c r="L57" s="226"/>
      <c r="M57" s="426"/>
      <c r="N57" s="226"/>
      <c r="O57" s="424">
        <v>2015</v>
      </c>
    </row>
    <row r="58" spans="1:15" ht="15.75">
      <c r="A58" s="414">
        <v>43</v>
      </c>
      <c r="B58" s="518"/>
      <c r="C58" s="503"/>
      <c r="D58" s="503"/>
      <c r="E58" s="124" t="s">
        <v>467</v>
      </c>
      <c r="F58" s="125">
        <v>2</v>
      </c>
      <c r="G58" s="418">
        <v>6</v>
      </c>
      <c r="H58" s="124">
        <v>160</v>
      </c>
      <c r="I58" s="408">
        <v>5</v>
      </c>
      <c r="J58" s="124">
        <v>360</v>
      </c>
      <c r="K58" s="418">
        <v>4</v>
      </c>
      <c r="L58" s="125">
        <v>10</v>
      </c>
      <c r="M58" s="419">
        <v>9100</v>
      </c>
      <c r="N58" s="124">
        <v>10</v>
      </c>
      <c r="O58" s="424">
        <v>2015</v>
      </c>
    </row>
    <row r="59" spans="1:15" ht="15.75">
      <c r="A59" s="414">
        <v>44</v>
      </c>
      <c r="B59" s="516"/>
      <c r="C59" s="519"/>
      <c r="D59" s="519"/>
      <c r="E59" s="124" t="s">
        <v>468</v>
      </c>
      <c r="F59" s="125">
        <v>2.2</v>
      </c>
      <c r="G59" s="418">
        <v>14</v>
      </c>
      <c r="H59" s="124">
        <v>320</v>
      </c>
      <c r="I59" s="408">
        <v>6</v>
      </c>
      <c r="J59" s="124">
        <v>520</v>
      </c>
      <c r="K59" s="418">
        <v>5</v>
      </c>
      <c r="L59" s="125">
        <v>14</v>
      </c>
      <c r="M59" s="419">
        <v>11100</v>
      </c>
      <c r="N59" s="124"/>
      <c r="O59" s="424">
        <v>2015</v>
      </c>
    </row>
    <row r="60" spans="1:15" ht="15.75">
      <c r="A60" s="414">
        <v>45</v>
      </c>
      <c r="B60" s="124"/>
      <c r="C60" s="408"/>
      <c r="D60" s="409"/>
      <c r="E60" s="124" t="s">
        <v>469</v>
      </c>
      <c r="F60" s="125">
        <v>2</v>
      </c>
      <c r="G60" s="418">
        <v>24</v>
      </c>
      <c r="H60" s="124">
        <v>480</v>
      </c>
      <c r="I60" s="408">
        <v>5</v>
      </c>
      <c r="J60" s="124">
        <v>580</v>
      </c>
      <c r="K60" s="418">
        <v>8</v>
      </c>
      <c r="L60" s="125">
        <v>30</v>
      </c>
      <c r="M60" s="419">
        <v>21100</v>
      </c>
      <c r="N60" s="124">
        <v>60</v>
      </c>
      <c r="O60" s="424">
        <v>2015</v>
      </c>
    </row>
    <row r="61" spans="1:15" ht="15.75">
      <c r="A61" s="414">
        <v>46</v>
      </c>
      <c r="B61" s="124"/>
      <c r="C61" s="408"/>
      <c r="D61" s="409"/>
      <c r="E61" s="124" t="s">
        <v>470</v>
      </c>
      <c r="F61" s="125">
        <v>1.5</v>
      </c>
      <c r="G61" s="418">
        <v>5</v>
      </c>
      <c r="H61" s="124">
        <v>160</v>
      </c>
      <c r="I61" s="408">
        <v>4</v>
      </c>
      <c r="J61" s="124">
        <v>640</v>
      </c>
      <c r="K61" s="418">
        <v>8</v>
      </c>
      <c r="L61" s="125">
        <v>17</v>
      </c>
      <c r="M61" s="419">
        <v>8200</v>
      </c>
      <c r="N61" s="124"/>
      <c r="O61" s="424">
        <v>2015</v>
      </c>
    </row>
    <row r="62" spans="1:15" ht="15.75">
      <c r="A62" s="414">
        <v>47</v>
      </c>
      <c r="B62" s="124"/>
      <c r="C62" s="408"/>
      <c r="D62" s="409"/>
      <c r="E62" s="124" t="s">
        <v>471</v>
      </c>
      <c r="F62" s="125">
        <v>3.5</v>
      </c>
      <c r="G62" s="418">
        <v>2</v>
      </c>
      <c r="H62" s="124">
        <v>320</v>
      </c>
      <c r="I62" s="408">
        <v>2</v>
      </c>
      <c r="J62" s="124">
        <v>320</v>
      </c>
      <c r="K62" s="418">
        <v>14</v>
      </c>
      <c r="L62" s="125">
        <v>6</v>
      </c>
      <c r="M62" s="419">
        <v>8800</v>
      </c>
      <c r="N62" s="124"/>
      <c r="O62" s="424">
        <v>2015</v>
      </c>
    </row>
    <row r="63" spans="1:15" ht="15.75">
      <c r="A63" s="414">
        <v>48</v>
      </c>
      <c r="B63" s="124"/>
      <c r="C63" s="408"/>
      <c r="D63" s="409"/>
      <c r="E63" s="130" t="s">
        <v>472</v>
      </c>
      <c r="F63" s="125">
        <v>1.5</v>
      </c>
      <c r="G63" s="418">
        <v>10</v>
      </c>
      <c r="H63" s="124">
        <v>160</v>
      </c>
      <c r="I63" s="408">
        <v>8</v>
      </c>
      <c r="J63" s="127">
        <v>2100</v>
      </c>
      <c r="K63" s="418">
        <v>3</v>
      </c>
      <c r="L63" s="125">
        <v>25</v>
      </c>
      <c r="M63" s="419">
        <v>15910</v>
      </c>
      <c r="N63" s="124"/>
      <c r="O63" s="424">
        <v>2015</v>
      </c>
    </row>
    <row r="64" spans="1:15" ht="15.75">
      <c r="A64" s="414">
        <v>49</v>
      </c>
      <c r="B64" s="124"/>
      <c r="C64" s="408"/>
      <c r="D64" s="409"/>
      <c r="E64" s="124" t="s">
        <v>473</v>
      </c>
      <c r="F64" s="125">
        <v>4</v>
      </c>
      <c r="G64" s="418">
        <v>3</v>
      </c>
      <c r="H64" s="124">
        <v>320</v>
      </c>
      <c r="I64" s="408">
        <v>1</v>
      </c>
      <c r="J64" s="124">
        <v>160</v>
      </c>
      <c r="K64" s="418">
        <v>10</v>
      </c>
      <c r="L64" s="125">
        <v>8</v>
      </c>
      <c r="M64" s="419">
        <v>6000</v>
      </c>
      <c r="N64" s="124"/>
      <c r="O64" s="424">
        <v>2015</v>
      </c>
    </row>
    <row r="65" spans="1:15" ht="15.75">
      <c r="A65" s="414">
        <v>50</v>
      </c>
      <c r="B65" s="124"/>
      <c r="C65" s="408"/>
      <c r="D65" s="409"/>
      <c r="E65" s="124" t="s">
        <v>474</v>
      </c>
      <c r="F65" s="125">
        <v>3.5</v>
      </c>
      <c r="G65" s="418">
        <v>12</v>
      </c>
      <c r="H65" s="124">
        <v>320</v>
      </c>
      <c r="I65" s="408">
        <v>1</v>
      </c>
      <c r="J65" s="124">
        <v>160</v>
      </c>
      <c r="K65" s="418">
        <v>11</v>
      </c>
      <c r="L65" s="125">
        <v>5</v>
      </c>
      <c r="M65" s="419">
        <v>14100</v>
      </c>
      <c r="N65" s="124"/>
      <c r="O65" s="424">
        <v>2015</v>
      </c>
    </row>
    <row r="66" spans="1:15" ht="15.75">
      <c r="A66" s="410">
        <v>51</v>
      </c>
      <c r="B66" s="230"/>
      <c r="C66" s="229"/>
      <c r="D66" s="410"/>
      <c r="E66" s="230" t="s">
        <v>475</v>
      </c>
      <c r="F66" s="230"/>
      <c r="G66" s="229"/>
      <c r="H66" s="230"/>
      <c r="I66" s="229"/>
      <c r="J66" s="230"/>
      <c r="K66" s="229"/>
      <c r="L66" s="230"/>
      <c r="M66" s="427"/>
      <c r="N66" s="230">
        <v>391</v>
      </c>
      <c r="O66" s="230">
        <v>2015</v>
      </c>
    </row>
    <row r="67" spans="1:15" ht="15.75">
      <c r="A67" s="415">
        <v>52</v>
      </c>
      <c r="B67" s="518" t="s">
        <v>57</v>
      </c>
      <c r="C67" s="503">
        <v>13</v>
      </c>
      <c r="D67" s="503">
        <v>6</v>
      </c>
      <c r="E67" s="266" t="s">
        <v>478</v>
      </c>
      <c r="F67" s="234"/>
      <c r="G67" s="470">
        <v>3.6</v>
      </c>
      <c r="H67" s="234"/>
      <c r="I67" s="472">
        <v>4</v>
      </c>
      <c r="J67" s="473">
        <v>187.5</v>
      </c>
      <c r="K67" s="233"/>
      <c r="L67" s="475">
        <v>3.8</v>
      </c>
      <c r="M67" s="476">
        <v>1765.5</v>
      </c>
      <c r="N67" s="234">
        <v>8</v>
      </c>
      <c r="O67" s="227">
        <v>2015</v>
      </c>
    </row>
    <row r="68" spans="1:15" ht="15.75">
      <c r="A68" s="414">
        <v>53</v>
      </c>
      <c r="B68" s="518"/>
      <c r="C68" s="503"/>
      <c r="D68" s="503"/>
      <c r="E68" s="115" t="s">
        <v>480</v>
      </c>
      <c r="F68" s="124"/>
      <c r="G68" s="471">
        <v>3</v>
      </c>
      <c r="H68" s="124"/>
      <c r="I68" s="474">
        <v>3</v>
      </c>
      <c r="J68" s="474">
        <v>50</v>
      </c>
      <c r="K68" s="408"/>
      <c r="L68" s="451">
        <v>3.5</v>
      </c>
      <c r="M68" s="141">
        <v>1140</v>
      </c>
      <c r="N68" s="431"/>
      <c r="O68" s="424">
        <v>2015</v>
      </c>
    </row>
    <row r="69" spans="1:15" ht="15.75">
      <c r="A69" s="414">
        <v>54</v>
      </c>
      <c r="B69" s="516"/>
      <c r="C69" s="519"/>
      <c r="D69" s="519"/>
      <c r="E69" s="115" t="s">
        <v>482</v>
      </c>
      <c r="F69" s="124"/>
      <c r="G69" s="449">
        <v>8.77</v>
      </c>
      <c r="H69" s="124"/>
      <c r="I69" s="461">
        <v>6</v>
      </c>
      <c r="J69" s="462">
        <v>225</v>
      </c>
      <c r="K69" s="408"/>
      <c r="L69" s="451">
        <v>6.5</v>
      </c>
      <c r="M69" s="450">
        <v>5746.5</v>
      </c>
      <c r="N69" s="124"/>
      <c r="O69" s="424">
        <v>2015</v>
      </c>
    </row>
    <row r="70" spans="1:15" ht="15.75">
      <c r="A70" s="414">
        <v>55</v>
      </c>
      <c r="B70" s="209"/>
      <c r="C70" s="232"/>
      <c r="D70" s="409"/>
      <c r="E70" s="115" t="s">
        <v>483</v>
      </c>
      <c r="F70" s="124"/>
      <c r="G70" s="449">
        <v>7.7</v>
      </c>
      <c r="H70" s="124"/>
      <c r="I70" s="461">
        <v>7</v>
      </c>
      <c r="J70" s="462">
        <v>175</v>
      </c>
      <c r="K70" s="408"/>
      <c r="L70" s="451">
        <v>5.6</v>
      </c>
      <c r="M70" s="450">
        <v>4431</v>
      </c>
      <c r="N70" s="124"/>
      <c r="O70" s="424">
        <v>2015</v>
      </c>
    </row>
    <row r="71" spans="1:15" ht="15.75">
      <c r="A71" s="414">
        <v>56</v>
      </c>
      <c r="B71" s="209"/>
      <c r="C71" s="232"/>
      <c r="D71" s="409"/>
      <c r="E71" s="136" t="s">
        <v>484</v>
      </c>
      <c r="F71" s="124"/>
      <c r="G71" s="418">
        <v>9.1</v>
      </c>
      <c r="H71" s="124">
        <v>250</v>
      </c>
      <c r="I71" s="408">
        <v>8</v>
      </c>
      <c r="J71" s="124">
        <v>400</v>
      </c>
      <c r="K71" s="418">
        <v>8.17</v>
      </c>
      <c r="L71" s="125">
        <v>2.1</v>
      </c>
      <c r="M71" s="419">
        <v>4734</v>
      </c>
      <c r="N71" s="124"/>
      <c r="O71" s="424">
        <v>2015</v>
      </c>
    </row>
    <row r="72" spans="1:15" ht="15.75">
      <c r="A72" s="416">
        <v>57</v>
      </c>
      <c r="B72" s="411"/>
      <c r="C72" s="412"/>
      <c r="D72" s="410"/>
      <c r="E72" s="315" t="s">
        <v>485</v>
      </c>
      <c r="F72" s="230">
        <v>4.836</v>
      </c>
      <c r="G72" s="425">
        <v>1.8</v>
      </c>
      <c r="H72" s="230">
        <v>200</v>
      </c>
      <c r="I72" s="229">
        <v>1</v>
      </c>
      <c r="J72" s="230">
        <v>75</v>
      </c>
      <c r="K72" s="229">
        <v>6.885</v>
      </c>
      <c r="L72" s="230"/>
      <c r="M72" s="427">
        <v>3720</v>
      </c>
      <c r="N72" s="230"/>
      <c r="O72" s="230">
        <v>2015</v>
      </c>
    </row>
    <row r="73" spans="1:15" ht="15.75">
      <c r="A73" s="415">
        <v>58</v>
      </c>
      <c r="B73" s="518" t="s">
        <v>71</v>
      </c>
      <c r="C73" s="503">
        <v>14</v>
      </c>
      <c r="D73" s="503">
        <v>14</v>
      </c>
      <c r="E73" s="362" t="s">
        <v>490</v>
      </c>
      <c r="F73" s="433">
        <v>0.2</v>
      </c>
      <c r="G73" s="428">
        <v>16.6</v>
      </c>
      <c r="H73" s="226">
        <v>400</v>
      </c>
      <c r="I73" s="225">
        <v>16</v>
      </c>
      <c r="J73" s="226">
        <v>800</v>
      </c>
      <c r="K73" s="225">
        <v>14.101999999999999</v>
      </c>
      <c r="L73" s="433">
        <v>2</v>
      </c>
      <c r="M73" s="426">
        <v>8642</v>
      </c>
      <c r="N73" s="226">
        <v>230</v>
      </c>
      <c r="O73" s="424">
        <v>2015</v>
      </c>
    </row>
    <row r="74" spans="1:15" ht="15.75">
      <c r="A74" s="414">
        <v>59</v>
      </c>
      <c r="B74" s="518"/>
      <c r="C74" s="503"/>
      <c r="D74" s="503"/>
      <c r="E74" s="147" t="s">
        <v>491</v>
      </c>
      <c r="F74" s="124">
        <v>7.491</v>
      </c>
      <c r="G74" s="418">
        <v>10</v>
      </c>
      <c r="H74" s="124">
        <v>200</v>
      </c>
      <c r="I74" s="408">
        <v>8</v>
      </c>
      <c r="J74" s="124">
        <v>400</v>
      </c>
      <c r="K74" s="408">
        <v>4.943</v>
      </c>
      <c r="L74" s="125">
        <v>9.6</v>
      </c>
      <c r="M74" s="419">
        <v>8601</v>
      </c>
      <c r="N74" s="124">
        <v>125</v>
      </c>
      <c r="O74" s="424">
        <v>2015</v>
      </c>
    </row>
    <row r="75" spans="1:15" ht="15.75">
      <c r="A75" s="414">
        <v>60</v>
      </c>
      <c r="B75" s="516"/>
      <c r="C75" s="519"/>
      <c r="D75" s="519"/>
      <c r="E75" s="147" t="s">
        <v>492</v>
      </c>
      <c r="F75" s="124"/>
      <c r="G75" s="418">
        <v>4</v>
      </c>
      <c r="H75" s="124">
        <v>200</v>
      </c>
      <c r="I75" s="408">
        <v>8</v>
      </c>
      <c r="J75" s="124">
        <v>400</v>
      </c>
      <c r="K75" s="408">
        <v>7.632000000000001</v>
      </c>
      <c r="L75" s="125">
        <v>1.02</v>
      </c>
      <c r="M75" s="419">
        <v>3065</v>
      </c>
      <c r="N75" s="124">
        <v>15</v>
      </c>
      <c r="O75" s="424">
        <v>2015</v>
      </c>
    </row>
    <row r="76" spans="1:15" ht="15.75">
      <c r="A76" s="414">
        <v>61</v>
      </c>
      <c r="B76" s="124"/>
      <c r="C76" s="408"/>
      <c r="D76" s="413"/>
      <c r="E76" s="147" t="s">
        <v>493</v>
      </c>
      <c r="F76" s="124">
        <v>4.504</v>
      </c>
      <c r="G76" s="418">
        <v>2.2</v>
      </c>
      <c r="H76" s="124">
        <v>250</v>
      </c>
      <c r="I76" s="408">
        <v>4</v>
      </c>
      <c r="J76" s="124">
        <v>200</v>
      </c>
      <c r="K76" s="408">
        <v>9.925</v>
      </c>
      <c r="L76" s="125">
        <v>2.12</v>
      </c>
      <c r="M76" s="419">
        <v>5526</v>
      </c>
      <c r="N76" s="124">
        <v>14</v>
      </c>
      <c r="O76" s="424">
        <v>2015</v>
      </c>
    </row>
    <row r="77" spans="1:15" ht="18.75" customHeight="1">
      <c r="A77" s="414">
        <v>62</v>
      </c>
      <c r="B77" s="124"/>
      <c r="C77" s="408"/>
      <c r="D77" s="413"/>
      <c r="E77" s="147" t="s">
        <v>494</v>
      </c>
      <c r="F77" s="124"/>
      <c r="G77" s="408">
        <v>10.673</v>
      </c>
      <c r="H77" s="124">
        <v>350</v>
      </c>
      <c r="I77" s="408">
        <v>8</v>
      </c>
      <c r="J77" s="124">
        <v>450</v>
      </c>
      <c r="K77" s="418">
        <v>9.931000000000001</v>
      </c>
      <c r="L77" s="125">
        <v>1.22</v>
      </c>
      <c r="M77" s="419">
        <v>5824</v>
      </c>
      <c r="N77" s="124">
        <v>30</v>
      </c>
      <c r="O77" s="424">
        <v>2015</v>
      </c>
    </row>
    <row r="78" spans="1:15" ht="15.75">
      <c r="A78" s="414">
        <v>63</v>
      </c>
      <c r="B78" s="124"/>
      <c r="C78" s="408"/>
      <c r="D78" s="413"/>
      <c r="E78" s="147" t="s">
        <v>495</v>
      </c>
      <c r="F78" s="124">
        <v>2.323</v>
      </c>
      <c r="G78" s="418">
        <v>6.4</v>
      </c>
      <c r="H78" s="124">
        <v>150</v>
      </c>
      <c r="I78" s="408">
        <v>6</v>
      </c>
      <c r="J78" s="124">
        <v>300</v>
      </c>
      <c r="K78" s="418">
        <v>4.185</v>
      </c>
      <c r="L78" s="125">
        <v>0.8</v>
      </c>
      <c r="M78" s="419">
        <v>3803</v>
      </c>
      <c r="N78" s="124">
        <v>45</v>
      </c>
      <c r="O78" s="424">
        <v>2015</v>
      </c>
    </row>
    <row r="79" spans="1:15" ht="15.75">
      <c r="A79" s="414">
        <v>64</v>
      </c>
      <c r="B79" s="124"/>
      <c r="C79" s="408"/>
      <c r="D79" s="413"/>
      <c r="E79" s="147" t="s">
        <v>496</v>
      </c>
      <c r="F79" s="124"/>
      <c r="G79" s="408"/>
      <c r="H79" s="124">
        <v>200</v>
      </c>
      <c r="I79" s="408"/>
      <c r="J79" s="124"/>
      <c r="K79" s="408">
        <v>7.611</v>
      </c>
      <c r="L79" s="125">
        <v>1.2</v>
      </c>
      <c r="M79" s="419">
        <v>1506</v>
      </c>
      <c r="N79" s="124">
        <v>10</v>
      </c>
      <c r="O79" s="424">
        <v>2015</v>
      </c>
    </row>
    <row r="80" spans="1:15" ht="15.75">
      <c r="A80" s="414">
        <v>65</v>
      </c>
      <c r="B80" s="124"/>
      <c r="C80" s="408"/>
      <c r="D80" s="413"/>
      <c r="E80" s="147" t="s">
        <v>497</v>
      </c>
      <c r="F80" s="125">
        <v>5.6</v>
      </c>
      <c r="G80" s="408"/>
      <c r="H80" s="124">
        <v>200</v>
      </c>
      <c r="I80" s="408">
        <v>6</v>
      </c>
      <c r="J80" s="124">
        <v>300</v>
      </c>
      <c r="K80" s="418">
        <v>6.32</v>
      </c>
      <c r="L80" s="124">
        <v>0.531</v>
      </c>
      <c r="M80" s="419">
        <v>3375</v>
      </c>
      <c r="N80" s="124">
        <v>45</v>
      </c>
      <c r="O80" s="424">
        <v>2015</v>
      </c>
    </row>
    <row r="81" spans="1:15" ht="15.75">
      <c r="A81" s="414">
        <v>66</v>
      </c>
      <c r="B81" s="124"/>
      <c r="C81" s="408"/>
      <c r="D81" s="413"/>
      <c r="E81" s="147" t="s">
        <v>498</v>
      </c>
      <c r="F81" s="125">
        <v>8.4</v>
      </c>
      <c r="G81" s="408"/>
      <c r="H81" s="124"/>
      <c r="I81" s="408">
        <v>1</v>
      </c>
      <c r="J81" s="124">
        <v>50</v>
      </c>
      <c r="K81" s="408"/>
      <c r="L81" s="447">
        <v>1.2</v>
      </c>
      <c r="M81" s="419">
        <v>4328</v>
      </c>
      <c r="N81" s="124">
        <v>8</v>
      </c>
      <c r="O81" s="424">
        <v>2015</v>
      </c>
    </row>
    <row r="82" spans="1:15" ht="15.75">
      <c r="A82" s="414">
        <v>67</v>
      </c>
      <c r="B82" s="124"/>
      <c r="C82" s="408"/>
      <c r="D82" s="413"/>
      <c r="E82" s="147" t="s">
        <v>499</v>
      </c>
      <c r="F82" s="124"/>
      <c r="G82" s="418">
        <v>9</v>
      </c>
      <c r="H82" s="124">
        <v>200</v>
      </c>
      <c r="I82" s="408">
        <v>8</v>
      </c>
      <c r="J82" s="124">
        <v>400</v>
      </c>
      <c r="K82" s="418">
        <v>6.53</v>
      </c>
      <c r="L82" s="124">
        <v>1.9609999999999999</v>
      </c>
      <c r="M82" s="419">
        <v>4589</v>
      </c>
      <c r="N82" s="124">
        <v>30</v>
      </c>
      <c r="O82" s="424">
        <v>2015</v>
      </c>
    </row>
    <row r="83" spans="1:15" ht="15.75">
      <c r="A83" s="414">
        <v>68</v>
      </c>
      <c r="B83" s="124"/>
      <c r="C83" s="408"/>
      <c r="D83" s="413"/>
      <c r="E83" s="147" t="s">
        <v>500</v>
      </c>
      <c r="F83" s="124">
        <v>0.459</v>
      </c>
      <c r="G83" s="408"/>
      <c r="H83" s="124">
        <v>300</v>
      </c>
      <c r="I83" s="408"/>
      <c r="J83" s="124"/>
      <c r="K83" s="408">
        <v>12.019</v>
      </c>
      <c r="L83" s="124"/>
      <c r="M83" s="419">
        <v>1958</v>
      </c>
      <c r="N83" s="124">
        <v>20</v>
      </c>
      <c r="O83" s="424">
        <v>2015</v>
      </c>
    </row>
    <row r="84" spans="1:15" ht="15.75">
      <c r="A84" s="414">
        <v>69</v>
      </c>
      <c r="B84" s="124"/>
      <c r="C84" s="408"/>
      <c r="D84" s="413"/>
      <c r="E84" s="147" t="s">
        <v>501</v>
      </c>
      <c r="F84" s="125">
        <v>0.22</v>
      </c>
      <c r="G84" s="408"/>
      <c r="H84" s="124">
        <v>400</v>
      </c>
      <c r="I84" s="408"/>
      <c r="J84" s="124"/>
      <c r="K84" s="408">
        <v>13.632</v>
      </c>
      <c r="L84" s="125">
        <v>5.92</v>
      </c>
      <c r="M84" s="419">
        <v>3489</v>
      </c>
      <c r="N84" s="124"/>
      <c r="O84" s="424">
        <v>2015</v>
      </c>
    </row>
    <row r="85" spans="1:15" ht="15.75">
      <c r="A85" s="414">
        <v>70</v>
      </c>
      <c r="B85" s="124"/>
      <c r="C85" s="408"/>
      <c r="D85" s="413"/>
      <c r="E85" s="147" t="s">
        <v>502</v>
      </c>
      <c r="F85" s="125">
        <v>0.84</v>
      </c>
      <c r="G85" s="418">
        <v>6.03</v>
      </c>
      <c r="H85" s="124">
        <v>525</v>
      </c>
      <c r="I85" s="408">
        <v>7</v>
      </c>
      <c r="J85" s="124">
        <v>350</v>
      </c>
      <c r="K85" s="408">
        <v>17.185</v>
      </c>
      <c r="L85" s="124">
        <v>3.603</v>
      </c>
      <c r="M85" s="419">
        <v>6038</v>
      </c>
      <c r="N85" s="124">
        <v>9</v>
      </c>
      <c r="O85" s="424">
        <v>2015</v>
      </c>
    </row>
    <row r="86" spans="1:15" ht="15.75">
      <c r="A86" s="416">
        <v>71</v>
      </c>
      <c r="B86" s="230"/>
      <c r="C86" s="229"/>
      <c r="D86" s="410"/>
      <c r="E86" s="320" t="s">
        <v>503</v>
      </c>
      <c r="F86" s="306">
        <v>3.08</v>
      </c>
      <c r="G86" s="425">
        <v>7.8</v>
      </c>
      <c r="H86" s="230"/>
      <c r="I86" s="229">
        <v>8</v>
      </c>
      <c r="J86" s="230">
        <v>400</v>
      </c>
      <c r="K86" s="229"/>
      <c r="L86" s="306">
        <v>8.4</v>
      </c>
      <c r="M86" s="427">
        <v>5889</v>
      </c>
      <c r="N86" s="230">
        <v>10</v>
      </c>
      <c r="O86" s="230">
        <v>2015</v>
      </c>
    </row>
    <row r="87" spans="1:15" ht="18" customHeight="1">
      <c r="A87" s="415">
        <v>72</v>
      </c>
      <c r="B87" s="521" t="s">
        <v>86</v>
      </c>
      <c r="C87" s="523">
        <v>17</v>
      </c>
      <c r="D87" s="523">
        <v>9</v>
      </c>
      <c r="E87" s="266" t="s">
        <v>505</v>
      </c>
      <c r="F87" s="226"/>
      <c r="G87" s="225"/>
      <c r="H87" s="226"/>
      <c r="I87" s="225"/>
      <c r="J87" s="226"/>
      <c r="K87" s="225">
        <v>4.715</v>
      </c>
      <c r="L87" s="226"/>
      <c r="M87" s="426">
        <v>1037</v>
      </c>
      <c r="N87" s="226"/>
      <c r="O87" s="424">
        <v>2015</v>
      </c>
    </row>
    <row r="88" spans="1:15" ht="15.75">
      <c r="A88" s="414">
        <v>73</v>
      </c>
      <c r="B88" s="521"/>
      <c r="C88" s="523"/>
      <c r="D88" s="523"/>
      <c r="E88" s="115" t="s">
        <v>509</v>
      </c>
      <c r="F88" s="124"/>
      <c r="G88" s="408"/>
      <c r="H88" s="124"/>
      <c r="I88" s="408"/>
      <c r="J88" s="124"/>
      <c r="K88" s="408">
        <v>15.384</v>
      </c>
      <c r="L88" s="125">
        <v>6</v>
      </c>
      <c r="M88" s="419">
        <v>4478</v>
      </c>
      <c r="N88" s="124"/>
      <c r="O88" s="424">
        <v>2015</v>
      </c>
    </row>
    <row r="89" spans="1:15" ht="15.75">
      <c r="A89" s="414">
        <v>74</v>
      </c>
      <c r="B89" s="521"/>
      <c r="C89" s="523"/>
      <c r="D89" s="523"/>
      <c r="E89" s="437" t="s">
        <v>511</v>
      </c>
      <c r="F89" s="124"/>
      <c r="G89" s="418">
        <v>1.35</v>
      </c>
      <c r="H89" s="124"/>
      <c r="I89" s="408">
        <v>2</v>
      </c>
      <c r="J89" s="124">
        <v>100</v>
      </c>
      <c r="K89" s="408"/>
      <c r="L89" s="125">
        <v>9.5</v>
      </c>
      <c r="M89" s="419">
        <v>3388</v>
      </c>
      <c r="N89" s="127">
        <v>35</v>
      </c>
      <c r="O89" s="424">
        <v>2015</v>
      </c>
    </row>
    <row r="90" spans="1:15" ht="15.75">
      <c r="A90" s="414">
        <v>75</v>
      </c>
      <c r="B90" s="522"/>
      <c r="C90" s="523"/>
      <c r="D90" s="523"/>
      <c r="E90" s="437" t="s">
        <v>514</v>
      </c>
      <c r="F90" s="124"/>
      <c r="G90" s="418">
        <v>5.4</v>
      </c>
      <c r="H90" s="124"/>
      <c r="I90" s="408">
        <v>5</v>
      </c>
      <c r="J90" s="124">
        <v>237.5</v>
      </c>
      <c r="K90" s="408">
        <v>8.975</v>
      </c>
      <c r="L90" s="125">
        <v>14.25</v>
      </c>
      <c r="M90" s="419">
        <v>8099</v>
      </c>
      <c r="N90" s="124">
        <v>35</v>
      </c>
      <c r="O90" s="424">
        <v>2015</v>
      </c>
    </row>
    <row r="91" spans="1:15" ht="15.75">
      <c r="A91" s="414">
        <v>76</v>
      </c>
      <c r="B91" s="348"/>
      <c r="C91" s="349"/>
      <c r="D91" s="262"/>
      <c r="E91" s="115" t="s">
        <v>516</v>
      </c>
      <c r="F91" s="124"/>
      <c r="G91" s="418">
        <v>0.7</v>
      </c>
      <c r="H91" s="124"/>
      <c r="I91" s="408">
        <v>1</v>
      </c>
      <c r="J91" s="124">
        <v>50</v>
      </c>
      <c r="K91" s="408">
        <v>21.314</v>
      </c>
      <c r="L91" s="125">
        <v>1.5</v>
      </c>
      <c r="M91" s="419">
        <v>5268</v>
      </c>
      <c r="N91" s="124">
        <v>10</v>
      </c>
      <c r="O91" s="424">
        <v>2015</v>
      </c>
    </row>
    <row r="92" spans="1:15" ht="15.75">
      <c r="A92" s="414">
        <v>77</v>
      </c>
      <c r="B92" s="348"/>
      <c r="C92" s="349"/>
      <c r="D92" s="262"/>
      <c r="E92" s="115" t="s">
        <v>517</v>
      </c>
      <c r="F92" s="124"/>
      <c r="G92" s="418">
        <v>1</v>
      </c>
      <c r="H92" s="124"/>
      <c r="I92" s="408">
        <v>1</v>
      </c>
      <c r="J92" s="124">
        <v>75</v>
      </c>
      <c r="K92" s="408">
        <v>1.587</v>
      </c>
      <c r="L92" s="125">
        <v>17.5</v>
      </c>
      <c r="M92" s="419">
        <v>5949</v>
      </c>
      <c r="N92" s="124">
        <v>4</v>
      </c>
      <c r="O92" s="424">
        <v>2015</v>
      </c>
    </row>
    <row r="93" spans="1:15" ht="15.75">
      <c r="A93" s="414">
        <v>78</v>
      </c>
      <c r="B93" s="348"/>
      <c r="C93" s="349"/>
      <c r="D93" s="262"/>
      <c r="E93" s="437" t="s">
        <v>518</v>
      </c>
      <c r="F93" s="124">
        <v>6.922</v>
      </c>
      <c r="G93" s="418">
        <v>3</v>
      </c>
      <c r="H93" s="124"/>
      <c r="I93" s="408">
        <v>5</v>
      </c>
      <c r="J93" s="124">
        <v>237.5</v>
      </c>
      <c r="K93" s="408">
        <v>1.963</v>
      </c>
      <c r="L93" s="125">
        <v>12.5</v>
      </c>
      <c r="M93" s="419">
        <v>10969</v>
      </c>
      <c r="N93" s="124">
        <v>10</v>
      </c>
      <c r="O93" s="424">
        <v>2015</v>
      </c>
    </row>
    <row r="94" spans="1:15" ht="15.75">
      <c r="A94" s="414">
        <v>79</v>
      </c>
      <c r="B94" s="348"/>
      <c r="C94" s="349"/>
      <c r="D94" s="262"/>
      <c r="E94" s="115" t="s">
        <v>519</v>
      </c>
      <c r="F94" s="124">
        <v>9.475</v>
      </c>
      <c r="G94" s="418">
        <v>2</v>
      </c>
      <c r="H94" s="124"/>
      <c r="I94" s="408">
        <v>6</v>
      </c>
      <c r="J94" s="124">
        <v>525</v>
      </c>
      <c r="K94" s="408">
        <v>15.011</v>
      </c>
      <c r="L94" s="125">
        <v>27.2</v>
      </c>
      <c r="M94" s="419">
        <v>20281</v>
      </c>
      <c r="N94" s="124">
        <v>1</v>
      </c>
      <c r="O94" s="424">
        <v>2015</v>
      </c>
    </row>
    <row r="95" spans="1:15" ht="15.75">
      <c r="A95" s="416">
        <v>80</v>
      </c>
      <c r="B95" s="369"/>
      <c r="C95" s="375"/>
      <c r="D95" s="346"/>
      <c r="E95" s="282" t="s">
        <v>520</v>
      </c>
      <c r="F95" s="230"/>
      <c r="G95" s="229"/>
      <c r="H95" s="230"/>
      <c r="I95" s="229"/>
      <c r="J95" s="230"/>
      <c r="K95" s="425">
        <v>5.22</v>
      </c>
      <c r="L95" s="306">
        <v>12.8</v>
      </c>
      <c r="M95" s="427">
        <v>4988</v>
      </c>
      <c r="N95" s="230">
        <v>10</v>
      </c>
      <c r="O95" s="230">
        <v>2015</v>
      </c>
    </row>
    <row r="96" spans="1:15" ht="15.75">
      <c r="A96" s="415">
        <v>81</v>
      </c>
      <c r="B96" s="521" t="s">
        <v>104</v>
      </c>
      <c r="C96" s="523">
        <v>13</v>
      </c>
      <c r="D96" s="523">
        <v>4</v>
      </c>
      <c r="E96" s="266" t="s">
        <v>522</v>
      </c>
      <c r="F96" s="226">
        <v>0.624</v>
      </c>
      <c r="G96" s="225">
        <v>2.275</v>
      </c>
      <c r="H96" s="226"/>
      <c r="I96" s="225">
        <v>3</v>
      </c>
      <c r="J96" s="226">
        <v>350</v>
      </c>
      <c r="K96" s="225">
        <v>18.564</v>
      </c>
      <c r="L96" s="226">
        <v>7.622</v>
      </c>
      <c r="M96" s="426">
        <v>7811</v>
      </c>
      <c r="N96" s="226">
        <v>50</v>
      </c>
      <c r="O96" s="424">
        <v>2015</v>
      </c>
    </row>
    <row r="97" spans="1:15" ht="15.75">
      <c r="A97" s="414">
        <v>82</v>
      </c>
      <c r="B97" s="521"/>
      <c r="C97" s="523"/>
      <c r="D97" s="523"/>
      <c r="E97" s="115" t="s">
        <v>529</v>
      </c>
      <c r="F97" s="124">
        <v>5.665</v>
      </c>
      <c r="G97" s="418">
        <v>2.7</v>
      </c>
      <c r="H97" s="124">
        <v>617.5</v>
      </c>
      <c r="I97" s="408">
        <v>3</v>
      </c>
      <c r="J97" s="124">
        <v>250</v>
      </c>
      <c r="K97" s="408">
        <v>27.398</v>
      </c>
      <c r="L97" s="125">
        <v>13.2</v>
      </c>
      <c r="M97" s="419">
        <v>15260</v>
      </c>
      <c r="N97" s="124">
        <v>39</v>
      </c>
      <c r="O97" s="424">
        <v>2015</v>
      </c>
    </row>
    <row r="98" spans="1:15" ht="15.75">
      <c r="A98" s="414">
        <v>83</v>
      </c>
      <c r="B98" s="522"/>
      <c r="C98" s="524"/>
      <c r="D98" s="524"/>
      <c r="E98" s="115" t="s">
        <v>531</v>
      </c>
      <c r="F98" s="124"/>
      <c r="G98" s="408">
        <v>2.271</v>
      </c>
      <c r="H98" s="124"/>
      <c r="I98" s="408">
        <v>2</v>
      </c>
      <c r="J98" s="124">
        <v>300</v>
      </c>
      <c r="K98" s="408">
        <v>11.699</v>
      </c>
      <c r="L98" s="124">
        <v>8.698</v>
      </c>
      <c r="M98" s="419">
        <v>6679</v>
      </c>
      <c r="N98" s="124">
        <v>80</v>
      </c>
      <c r="O98" s="424">
        <v>2015</v>
      </c>
    </row>
    <row r="99" spans="1:15" ht="15.75">
      <c r="A99" s="416">
        <v>84</v>
      </c>
      <c r="B99" s="271"/>
      <c r="C99" s="417"/>
      <c r="D99" s="346"/>
      <c r="E99" s="282" t="s">
        <v>532</v>
      </c>
      <c r="F99" s="230"/>
      <c r="G99" s="229">
        <v>4.112</v>
      </c>
      <c r="H99" s="230">
        <v>835</v>
      </c>
      <c r="I99" s="229">
        <v>3</v>
      </c>
      <c r="J99" s="230">
        <v>450</v>
      </c>
      <c r="K99" s="229">
        <v>21.939</v>
      </c>
      <c r="L99" s="230">
        <v>9.438</v>
      </c>
      <c r="M99" s="427">
        <v>9665</v>
      </c>
      <c r="N99" s="230">
        <v>60</v>
      </c>
      <c r="O99" s="230">
        <v>2015</v>
      </c>
    </row>
    <row r="100" spans="1:15" ht="15.75">
      <c r="A100" s="415">
        <v>85</v>
      </c>
      <c r="B100" s="521" t="s">
        <v>126</v>
      </c>
      <c r="C100" s="523">
        <v>14</v>
      </c>
      <c r="D100" s="523">
        <v>4</v>
      </c>
      <c r="E100" s="376" t="s">
        <v>533</v>
      </c>
      <c r="F100" s="226"/>
      <c r="G100" s="225"/>
      <c r="H100" s="226">
        <v>800</v>
      </c>
      <c r="I100" s="225"/>
      <c r="J100" s="226"/>
      <c r="K100" s="428">
        <v>5</v>
      </c>
      <c r="L100" s="433">
        <v>1.5</v>
      </c>
      <c r="M100" s="426">
        <v>2600</v>
      </c>
      <c r="N100" s="226">
        <v>30</v>
      </c>
      <c r="O100" s="424">
        <v>2015</v>
      </c>
    </row>
    <row r="101" spans="1:15" ht="15.75">
      <c r="A101" s="414">
        <v>86</v>
      </c>
      <c r="B101" s="525"/>
      <c r="C101" s="523"/>
      <c r="D101" s="523"/>
      <c r="E101" s="151" t="s">
        <v>535</v>
      </c>
      <c r="F101" s="124"/>
      <c r="G101" s="408"/>
      <c r="H101" s="124"/>
      <c r="I101" s="408"/>
      <c r="J101" s="124"/>
      <c r="K101" s="418">
        <v>3</v>
      </c>
      <c r="L101" s="125">
        <v>1.3</v>
      </c>
      <c r="M101" s="419">
        <v>850</v>
      </c>
      <c r="N101" s="124">
        <v>65</v>
      </c>
      <c r="O101" s="424">
        <v>2015</v>
      </c>
    </row>
    <row r="102" spans="1:15" ht="15.75">
      <c r="A102" s="414">
        <v>87</v>
      </c>
      <c r="B102" s="526"/>
      <c r="C102" s="524"/>
      <c r="D102" s="524"/>
      <c r="E102" s="151" t="s">
        <v>540</v>
      </c>
      <c r="F102" s="124"/>
      <c r="G102" s="418">
        <v>1.5</v>
      </c>
      <c r="H102" s="124"/>
      <c r="I102" s="408">
        <v>1</v>
      </c>
      <c r="J102" s="124">
        <v>50</v>
      </c>
      <c r="K102" s="408"/>
      <c r="L102" s="125">
        <v>3</v>
      </c>
      <c r="M102" s="419">
        <v>1050</v>
      </c>
      <c r="N102" s="124">
        <v>20</v>
      </c>
      <c r="O102" s="424">
        <v>2015</v>
      </c>
    </row>
    <row r="103" spans="1:15" ht="15.75">
      <c r="A103" s="410">
        <v>88</v>
      </c>
      <c r="B103" s="271"/>
      <c r="C103" s="272"/>
      <c r="D103" s="346"/>
      <c r="E103" s="273" t="s">
        <v>543</v>
      </c>
      <c r="F103" s="230"/>
      <c r="G103" s="425">
        <v>3</v>
      </c>
      <c r="H103" s="438">
        <v>980</v>
      </c>
      <c r="I103" s="229">
        <v>2</v>
      </c>
      <c r="J103" s="230">
        <v>900</v>
      </c>
      <c r="K103" s="425">
        <v>10</v>
      </c>
      <c r="L103" s="306">
        <v>6</v>
      </c>
      <c r="M103" s="427">
        <v>4500</v>
      </c>
      <c r="N103" s="230">
        <v>30</v>
      </c>
      <c r="O103" s="230">
        <v>2015</v>
      </c>
    </row>
    <row r="104" spans="1:15" ht="15.75">
      <c r="A104" s="415">
        <v>89</v>
      </c>
      <c r="B104" s="518" t="s">
        <v>141</v>
      </c>
      <c r="C104" s="503">
        <v>12</v>
      </c>
      <c r="D104" s="503">
        <v>12</v>
      </c>
      <c r="E104" s="376" t="s">
        <v>547</v>
      </c>
      <c r="F104" s="226"/>
      <c r="G104" s="225"/>
      <c r="H104" s="432"/>
      <c r="I104" s="225"/>
      <c r="J104" s="432"/>
      <c r="K104" s="225"/>
      <c r="L104" s="226"/>
      <c r="M104" s="426"/>
      <c r="N104" s="226"/>
      <c r="O104" s="424">
        <v>2015</v>
      </c>
    </row>
    <row r="105" spans="1:15" ht="15.75">
      <c r="A105" s="414">
        <v>90</v>
      </c>
      <c r="B105" s="518"/>
      <c r="C105" s="503"/>
      <c r="D105" s="503"/>
      <c r="E105" s="151" t="s">
        <v>548</v>
      </c>
      <c r="F105" s="124"/>
      <c r="G105" s="408"/>
      <c r="H105" s="127">
        <v>1500</v>
      </c>
      <c r="I105" s="408"/>
      <c r="J105" s="127"/>
      <c r="K105" s="418">
        <v>5</v>
      </c>
      <c r="L105" s="125">
        <v>1</v>
      </c>
      <c r="M105" s="419">
        <v>4000</v>
      </c>
      <c r="N105" s="124">
        <v>40</v>
      </c>
      <c r="O105" s="424">
        <v>2015</v>
      </c>
    </row>
    <row r="106" spans="1:15" ht="15.75">
      <c r="A106" s="414">
        <v>91</v>
      </c>
      <c r="B106" s="516"/>
      <c r="C106" s="519"/>
      <c r="D106" s="519"/>
      <c r="E106" s="151" t="s">
        <v>549</v>
      </c>
      <c r="F106" s="124"/>
      <c r="G106" s="408"/>
      <c r="H106" s="127">
        <v>1500</v>
      </c>
      <c r="I106" s="408"/>
      <c r="J106" s="127"/>
      <c r="K106" s="418">
        <v>5</v>
      </c>
      <c r="L106" s="124"/>
      <c r="M106" s="419">
        <v>3350</v>
      </c>
      <c r="N106" s="124">
        <v>70</v>
      </c>
      <c r="O106" s="424">
        <v>2015</v>
      </c>
    </row>
    <row r="107" spans="1:15" ht="15.75">
      <c r="A107" s="414">
        <v>92</v>
      </c>
      <c r="B107" s="124"/>
      <c r="C107" s="408"/>
      <c r="D107" s="413"/>
      <c r="E107" s="151" t="s">
        <v>550</v>
      </c>
      <c r="F107" s="124"/>
      <c r="G107" s="418">
        <v>0.8</v>
      </c>
      <c r="H107" s="127">
        <v>2000</v>
      </c>
      <c r="I107" s="408"/>
      <c r="J107" s="127"/>
      <c r="K107" s="418">
        <v>10</v>
      </c>
      <c r="L107" s="125">
        <v>2</v>
      </c>
      <c r="M107" s="419">
        <v>4807</v>
      </c>
      <c r="N107" s="124"/>
      <c r="O107" s="424">
        <v>2015</v>
      </c>
    </row>
    <row r="108" spans="1:15" ht="15.75">
      <c r="A108" s="414">
        <v>93</v>
      </c>
      <c r="B108" s="124"/>
      <c r="C108" s="408"/>
      <c r="D108" s="413"/>
      <c r="E108" s="151" t="s">
        <v>551</v>
      </c>
      <c r="F108" s="125">
        <v>1</v>
      </c>
      <c r="G108" s="418">
        <v>0.5</v>
      </c>
      <c r="H108" s="127">
        <v>1500</v>
      </c>
      <c r="I108" s="408"/>
      <c r="J108" s="127"/>
      <c r="K108" s="418">
        <v>5</v>
      </c>
      <c r="L108" s="125">
        <v>6</v>
      </c>
      <c r="M108" s="419">
        <v>5500</v>
      </c>
      <c r="N108" s="124">
        <v>70</v>
      </c>
      <c r="O108" s="424">
        <v>2015</v>
      </c>
    </row>
    <row r="109" spans="1:15" ht="15.75">
      <c r="A109" s="414">
        <v>94</v>
      </c>
      <c r="B109" s="124"/>
      <c r="C109" s="408"/>
      <c r="D109" s="413"/>
      <c r="E109" s="151" t="s">
        <v>552</v>
      </c>
      <c r="F109" s="125">
        <v>1</v>
      </c>
      <c r="G109" s="418">
        <v>0.5</v>
      </c>
      <c r="H109" s="127">
        <v>1000</v>
      </c>
      <c r="I109" s="408"/>
      <c r="J109" s="127"/>
      <c r="K109" s="418">
        <v>18</v>
      </c>
      <c r="L109" s="125">
        <v>3</v>
      </c>
      <c r="M109" s="419">
        <v>1955</v>
      </c>
      <c r="N109" s="124">
        <v>75</v>
      </c>
      <c r="O109" s="424">
        <v>2015</v>
      </c>
    </row>
    <row r="110" spans="1:15" ht="15.75">
      <c r="A110" s="414">
        <v>95</v>
      </c>
      <c r="B110" s="124"/>
      <c r="C110" s="408"/>
      <c r="D110" s="413"/>
      <c r="E110" s="151" t="s">
        <v>553</v>
      </c>
      <c r="F110" s="124"/>
      <c r="G110" s="408"/>
      <c r="H110" s="127">
        <v>1000</v>
      </c>
      <c r="I110" s="408"/>
      <c r="J110" s="127"/>
      <c r="K110" s="418">
        <v>4.5</v>
      </c>
      <c r="L110" s="124"/>
      <c r="M110" s="419">
        <v>2550</v>
      </c>
      <c r="N110" s="124">
        <v>20</v>
      </c>
      <c r="O110" s="424">
        <v>2015</v>
      </c>
    </row>
    <row r="111" spans="1:15" ht="15.75">
      <c r="A111" s="414">
        <v>96</v>
      </c>
      <c r="B111" s="124"/>
      <c r="C111" s="408"/>
      <c r="D111" s="413"/>
      <c r="E111" s="151" t="s">
        <v>554</v>
      </c>
      <c r="F111" s="124"/>
      <c r="G111" s="418">
        <v>2</v>
      </c>
      <c r="H111" s="127"/>
      <c r="I111" s="455">
        <v>2</v>
      </c>
      <c r="J111" s="127">
        <v>100</v>
      </c>
      <c r="K111" s="408"/>
      <c r="L111" s="125">
        <v>2</v>
      </c>
      <c r="M111" s="419">
        <v>1450</v>
      </c>
      <c r="N111" s="124">
        <v>80</v>
      </c>
      <c r="O111" s="424">
        <v>2015</v>
      </c>
    </row>
    <row r="112" spans="1:15" ht="15.75">
      <c r="A112" s="414">
        <v>97</v>
      </c>
      <c r="B112" s="124"/>
      <c r="C112" s="408"/>
      <c r="D112" s="413"/>
      <c r="E112" s="151" t="s">
        <v>555</v>
      </c>
      <c r="F112" s="125">
        <v>0.8</v>
      </c>
      <c r="G112" s="408"/>
      <c r="H112" s="127">
        <v>1000</v>
      </c>
      <c r="I112" s="408"/>
      <c r="J112" s="127"/>
      <c r="K112" s="418">
        <v>5</v>
      </c>
      <c r="L112" s="124"/>
      <c r="M112" s="419">
        <v>2650</v>
      </c>
      <c r="N112" s="124"/>
      <c r="O112" s="424">
        <v>2015</v>
      </c>
    </row>
    <row r="113" spans="1:15" ht="15.75">
      <c r="A113" s="414">
        <v>98</v>
      </c>
      <c r="B113" s="162"/>
      <c r="C113" s="408"/>
      <c r="D113" s="413"/>
      <c r="E113" s="151" t="s">
        <v>556</v>
      </c>
      <c r="F113" s="125">
        <v>1.5</v>
      </c>
      <c r="G113" s="408"/>
      <c r="H113" s="127">
        <v>2000</v>
      </c>
      <c r="I113" s="408"/>
      <c r="J113" s="127"/>
      <c r="K113" s="418">
        <v>2</v>
      </c>
      <c r="L113" s="124"/>
      <c r="M113" s="419">
        <v>3930</v>
      </c>
      <c r="N113" s="124">
        <v>52</v>
      </c>
      <c r="O113" s="424">
        <v>2015</v>
      </c>
    </row>
    <row r="114" spans="1:15" ht="15.75">
      <c r="A114" s="414">
        <v>99</v>
      </c>
      <c r="B114" s="124"/>
      <c r="C114" s="408"/>
      <c r="D114" s="413"/>
      <c r="E114" s="151" t="s">
        <v>557</v>
      </c>
      <c r="F114" s="125">
        <v>2</v>
      </c>
      <c r="G114" s="418">
        <v>0.7</v>
      </c>
      <c r="H114" s="127">
        <v>1500</v>
      </c>
      <c r="I114" s="408">
        <v>1</v>
      </c>
      <c r="J114" s="127">
        <v>50</v>
      </c>
      <c r="K114" s="418">
        <v>6</v>
      </c>
      <c r="L114" s="124"/>
      <c r="M114" s="419">
        <v>4390</v>
      </c>
      <c r="N114" s="124">
        <v>163</v>
      </c>
      <c r="O114" s="424">
        <v>2015</v>
      </c>
    </row>
    <row r="115" spans="1:15" ht="15.75">
      <c r="A115" s="410">
        <v>100</v>
      </c>
      <c r="B115" s="230"/>
      <c r="C115" s="229"/>
      <c r="D115" s="410"/>
      <c r="E115" s="330" t="s">
        <v>558</v>
      </c>
      <c r="F115" s="230"/>
      <c r="G115" s="229"/>
      <c r="H115" s="308">
        <v>1500</v>
      </c>
      <c r="I115" s="229"/>
      <c r="J115" s="308"/>
      <c r="K115" s="425">
        <v>5</v>
      </c>
      <c r="L115" s="230"/>
      <c r="M115" s="427">
        <v>2650</v>
      </c>
      <c r="N115" s="230">
        <v>25</v>
      </c>
      <c r="O115" s="230">
        <v>2015</v>
      </c>
    </row>
    <row r="116" spans="1:15" ht="15.75">
      <c r="A116" s="401"/>
      <c r="B116" s="402"/>
      <c r="C116" s="403"/>
      <c r="D116" s="402"/>
      <c r="E116" s="403"/>
      <c r="F116" s="402"/>
      <c r="G116" s="403"/>
      <c r="H116" s="402"/>
      <c r="I116" s="403"/>
      <c r="J116" s="402"/>
      <c r="K116" s="403"/>
      <c r="L116" s="402"/>
      <c r="M116" s="403"/>
      <c r="N116" s="402"/>
      <c r="O116" s="404"/>
    </row>
    <row r="117" spans="1:15" ht="15.75">
      <c r="A117" s="223" t="s">
        <v>168</v>
      </c>
      <c r="B117" s="222" t="s">
        <v>394</v>
      </c>
      <c r="C117" s="214"/>
      <c r="D117" s="218"/>
      <c r="E117" s="214"/>
      <c r="F117" s="218"/>
      <c r="G117" s="214"/>
      <c r="H117" s="218"/>
      <c r="I117" s="214"/>
      <c r="J117" s="218"/>
      <c r="K117" s="214"/>
      <c r="L117" s="218"/>
      <c r="M117" s="214"/>
      <c r="N117" s="218"/>
      <c r="O117" s="215"/>
    </row>
    <row r="118" spans="1:15" ht="26.25">
      <c r="A118" s="416">
        <v>1</v>
      </c>
      <c r="B118" s="420" t="s">
        <v>12</v>
      </c>
      <c r="C118" s="229"/>
      <c r="D118" s="87">
        <v>1</v>
      </c>
      <c r="E118" s="283" t="s">
        <v>455</v>
      </c>
      <c r="F118" s="230"/>
      <c r="G118" s="425">
        <v>5.5</v>
      </c>
      <c r="H118" s="230"/>
      <c r="I118" s="229">
        <v>2</v>
      </c>
      <c r="J118" s="230">
        <v>100</v>
      </c>
      <c r="K118" s="229"/>
      <c r="L118" s="306">
        <v>4</v>
      </c>
      <c r="M118" s="427">
        <v>3800</v>
      </c>
      <c r="N118" s="230">
        <v>325</v>
      </c>
      <c r="O118" s="228">
        <v>2020</v>
      </c>
    </row>
    <row r="119" spans="1:15" ht="26.25">
      <c r="A119" s="421">
        <v>2</v>
      </c>
      <c r="B119" s="422" t="s">
        <v>31</v>
      </c>
      <c r="C119" s="238"/>
      <c r="D119" s="81">
        <v>1</v>
      </c>
      <c r="E119" s="423" t="s">
        <v>476</v>
      </c>
      <c r="F119" s="237"/>
      <c r="G119" s="238"/>
      <c r="H119" s="237"/>
      <c r="I119" s="238"/>
      <c r="J119" s="237"/>
      <c r="K119" s="238"/>
      <c r="L119" s="237"/>
      <c r="M119" s="238"/>
      <c r="N119" s="237">
        <v>50</v>
      </c>
      <c r="O119" s="440">
        <v>2020</v>
      </c>
    </row>
    <row r="120" spans="1:15" ht="15.75">
      <c r="A120" s="415">
        <v>3</v>
      </c>
      <c r="B120" s="518" t="s">
        <v>57</v>
      </c>
      <c r="C120" s="225"/>
      <c r="D120" s="503">
        <v>7</v>
      </c>
      <c r="E120" s="266" t="s">
        <v>477</v>
      </c>
      <c r="F120" s="226"/>
      <c r="G120" s="428">
        <v>1.7</v>
      </c>
      <c r="H120" s="226"/>
      <c r="I120" s="225">
        <v>3</v>
      </c>
      <c r="J120" s="226">
        <v>75</v>
      </c>
      <c r="K120" s="225"/>
      <c r="L120" s="433">
        <v>3.1</v>
      </c>
      <c r="M120" s="426">
        <v>1542</v>
      </c>
      <c r="N120" s="226">
        <v>10</v>
      </c>
      <c r="O120" s="227">
        <v>2020</v>
      </c>
    </row>
    <row r="121" spans="1:15" ht="15.75">
      <c r="A121" s="414">
        <v>4</v>
      </c>
      <c r="B121" s="516"/>
      <c r="C121" s="408"/>
      <c r="D121" s="519"/>
      <c r="E121" s="115" t="s">
        <v>479</v>
      </c>
      <c r="F121" s="124"/>
      <c r="G121" s="418">
        <v>2</v>
      </c>
      <c r="H121" s="124"/>
      <c r="I121" s="408">
        <v>1</v>
      </c>
      <c r="J121" s="124">
        <v>75</v>
      </c>
      <c r="K121" s="408"/>
      <c r="L121" s="125">
        <v>2</v>
      </c>
      <c r="M121" s="419">
        <v>1230</v>
      </c>
      <c r="N121" s="124">
        <v>10</v>
      </c>
      <c r="O121" s="424">
        <v>2020</v>
      </c>
    </row>
    <row r="122" spans="1:15" ht="15.75">
      <c r="A122" s="414">
        <v>5</v>
      </c>
      <c r="B122" s="124"/>
      <c r="C122" s="408"/>
      <c r="D122" s="409"/>
      <c r="E122" s="115" t="s">
        <v>481</v>
      </c>
      <c r="F122" s="124"/>
      <c r="G122" s="418">
        <v>9.5</v>
      </c>
      <c r="H122" s="124"/>
      <c r="I122" s="408">
        <v>7</v>
      </c>
      <c r="J122" s="124">
        <v>225</v>
      </c>
      <c r="K122" s="408"/>
      <c r="L122" s="125">
        <v>5.5</v>
      </c>
      <c r="M122" s="419">
        <v>4857</v>
      </c>
      <c r="N122" s="124">
        <v>120</v>
      </c>
      <c r="O122" s="424">
        <v>2020</v>
      </c>
    </row>
    <row r="123" spans="1:15" ht="15.75">
      <c r="A123" s="414">
        <v>6</v>
      </c>
      <c r="B123" s="124"/>
      <c r="C123" s="408"/>
      <c r="D123" s="409"/>
      <c r="E123" s="136" t="s">
        <v>486</v>
      </c>
      <c r="F123" s="124">
        <v>11.935</v>
      </c>
      <c r="G123" s="408">
        <v>30.835</v>
      </c>
      <c r="H123" s="124">
        <v>500</v>
      </c>
      <c r="I123" s="408">
        <v>23</v>
      </c>
      <c r="J123" s="127">
        <v>1725</v>
      </c>
      <c r="K123" s="418">
        <v>15.048</v>
      </c>
      <c r="L123" s="125">
        <v>1.6</v>
      </c>
      <c r="M123" s="419">
        <v>21115</v>
      </c>
      <c r="N123" s="127">
        <v>425</v>
      </c>
      <c r="O123" s="424">
        <v>2020</v>
      </c>
    </row>
    <row r="124" spans="1:15" ht="15.75">
      <c r="A124" s="414">
        <v>7</v>
      </c>
      <c r="B124" s="124"/>
      <c r="C124" s="408"/>
      <c r="D124" s="409"/>
      <c r="E124" s="136" t="s">
        <v>487</v>
      </c>
      <c r="F124" s="125">
        <v>2.78</v>
      </c>
      <c r="G124" s="418">
        <v>9.9</v>
      </c>
      <c r="H124" s="124">
        <v>250</v>
      </c>
      <c r="I124" s="408">
        <v>10</v>
      </c>
      <c r="J124" s="124">
        <v>525</v>
      </c>
      <c r="K124" s="418">
        <v>6.36</v>
      </c>
      <c r="L124" s="125">
        <v>0.78</v>
      </c>
      <c r="M124" s="419">
        <v>6081</v>
      </c>
      <c r="N124" s="124">
        <v>85</v>
      </c>
      <c r="O124" s="424">
        <v>2020</v>
      </c>
    </row>
    <row r="125" spans="1:15" ht="15.75">
      <c r="A125" s="414">
        <v>8</v>
      </c>
      <c r="B125" s="124"/>
      <c r="C125" s="408"/>
      <c r="D125" s="409"/>
      <c r="E125" s="136" t="s">
        <v>488</v>
      </c>
      <c r="F125" s="125">
        <v>4.76</v>
      </c>
      <c r="G125" s="418">
        <v>22.2</v>
      </c>
      <c r="H125" s="124">
        <v>400</v>
      </c>
      <c r="I125" s="408">
        <v>12</v>
      </c>
      <c r="J125" s="124">
        <v>575</v>
      </c>
      <c r="K125" s="408">
        <v>13.271</v>
      </c>
      <c r="L125" s="124">
        <v>1.6909999999999998</v>
      </c>
      <c r="M125" s="419">
        <v>11848</v>
      </c>
      <c r="N125" s="124">
        <v>35</v>
      </c>
      <c r="O125" s="424">
        <v>2020</v>
      </c>
    </row>
    <row r="126" spans="1:15" ht="15.75">
      <c r="A126" s="416">
        <v>9</v>
      </c>
      <c r="B126" s="230"/>
      <c r="C126" s="229"/>
      <c r="D126" s="410"/>
      <c r="E126" s="315" t="s">
        <v>489</v>
      </c>
      <c r="F126" s="306">
        <v>0.4</v>
      </c>
      <c r="G126" s="425">
        <v>19.2</v>
      </c>
      <c r="H126" s="230">
        <v>300</v>
      </c>
      <c r="I126" s="229">
        <v>22</v>
      </c>
      <c r="J126" s="308">
        <v>1075</v>
      </c>
      <c r="K126" s="229">
        <v>8.679</v>
      </c>
      <c r="L126" s="230"/>
      <c r="M126" s="427">
        <v>8420</v>
      </c>
      <c r="N126" s="230">
        <v>105</v>
      </c>
      <c r="O126" s="230">
        <v>2020</v>
      </c>
    </row>
    <row r="127" spans="1:15" ht="15.75">
      <c r="A127" s="415">
        <v>10</v>
      </c>
      <c r="B127" s="521" t="s">
        <v>86</v>
      </c>
      <c r="C127" s="225"/>
      <c r="D127" s="503">
        <v>8</v>
      </c>
      <c r="E127" s="266" t="s">
        <v>504</v>
      </c>
      <c r="F127" s="226"/>
      <c r="G127" s="225"/>
      <c r="H127" s="226"/>
      <c r="I127" s="225">
        <v>3</v>
      </c>
      <c r="J127" s="226">
        <v>150</v>
      </c>
      <c r="K127" s="225">
        <v>8.097</v>
      </c>
      <c r="L127" s="433">
        <v>29.6</v>
      </c>
      <c r="M127" s="426">
        <v>10961</v>
      </c>
      <c r="N127" s="432">
        <v>10</v>
      </c>
      <c r="O127" s="227">
        <v>2020</v>
      </c>
    </row>
    <row r="128" spans="1:15" ht="15.75">
      <c r="A128" s="414">
        <v>11</v>
      </c>
      <c r="B128" s="522"/>
      <c r="C128" s="408"/>
      <c r="D128" s="519"/>
      <c r="E128" s="115" t="s">
        <v>506</v>
      </c>
      <c r="F128" s="124"/>
      <c r="G128" s="418">
        <v>6.5</v>
      </c>
      <c r="H128" s="124"/>
      <c r="I128" s="408">
        <v>5</v>
      </c>
      <c r="J128" s="124">
        <v>250</v>
      </c>
      <c r="K128" s="408">
        <v>6.999</v>
      </c>
      <c r="L128" s="125">
        <v>10.2</v>
      </c>
      <c r="M128" s="419">
        <v>6750</v>
      </c>
      <c r="N128" s="127">
        <v>95</v>
      </c>
      <c r="O128" s="424">
        <v>2020</v>
      </c>
    </row>
    <row r="129" spans="1:15" ht="15.75">
      <c r="A129" s="414">
        <v>12</v>
      </c>
      <c r="B129" s="124"/>
      <c r="C129" s="408"/>
      <c r="D129" s="124"/>
      <c r="E129" s="115" t="s">
        <v>507</v>
      </c>
      <c r="F129" s="124"/>
      <c r="G129" s="418">
        <v>5</v>
      </c>
      <c r="H129" s="124"/>
      <c r="I129" s="408">
        <v>5</v>
      </c>
      <c r="J129" s="124">
        <v>250</v>
      </c>
      <c r="K129" s="408"/>
      <c r="L129" s="125">
        <v>9.3</v>
      </c>
      <c r="M129" s="419">
        <v>4540</v>
      </c>
      <c r="N129" s="127">
        <v>85</v>
      </c>
      <c r="O129" s="424">
        <v>2020</v>
      </c>
    </row>
    <row r="130" spans="1:15" ht="15.75">
      <c r="A130" s="414">
        <v>13</v>
      </c>
      <c r="B130" s="124"/>
      <c r="C130" s="408"/>
      <c r="D130" s="124"/>
      <c r="E130" s="115" t="s">
        <v>508</v>
      </c>
      <c r="F130" s="124"/>
      <c r="G130" s="418">
        <v>5</v>
      </c>
      <c r="H130" s="124"/>
      <c r="I130" s="408">
        <v>5</v>
      </c>
      <c r="J130" s="124">
        <v>250</v>
      </c>
      <c r="K130" s="449">
        <v>0.947</v>
      </c>
      <c r="L130" s="451">
        <v>10</v>
      </c>
      <c r="M130" s="450">
        <v>5500</v>
      </c>
      <c r="N130" s="127">
        <v>335</v>
      </c>
      <c r="O130" s="424">
        <v>2020</v>
      </c>
    </row>
    <row r="131" spans="1:15" ht="15.75">
      <c r="A131" s="414">
        <v>14</v>
      </c>
      <c r="B131" s="124"/>
      <c r="C131" s="408"/>
      <c r="D131" s="124"/>
      <c r="E131" s="115" t="s">
        <v>510</v>
      </c>
      <c r="F131" s="124"/>
      <c r="G131" s="418">
        <v>0.9</v>
      </c>
      <c r="H131" s="124"/>
      <c r="I131" s="408">
        <v>1</v>
      </c>
      <c r="J131" s="124">
        <v>50</v>
      </c>
      <c r="K131" s="408">
        <v>10.716</v>
      </c>
      <c r="L131" s="125">
        <v>10.2</v>
      </c>
      <c r="M131" s="419">
        <v>5742</v>
      </c>
      <c r="N131" s="127"/>
      <c r="O131" s="424">
        <v>2020</v>
      </c>
    </row>
    <row r="132" spans="1:15" ht="15.75">
      <c r="A132" s="414">
        <v>15</v>
      </c>
      <c r="B132" s="124"/>
      <c r="C132" s="408"/>
      <c r="D132" s="124"/>
      <c r="E132" s="115" t="s">
        <v>513</v>
      </c>
      <c r="F132" s="124"/>
      <c r="G132" s="418">
        <v>3</v>
      </c>
      <c r="H132" s="124">
        <v>150</v>
      </c>
      <c r="I132" s="408">
        <v>2</v>
      </c>
      <c r="J132" s="124">
        <v>100</v>
      </c>
      <c r="K132" s="408">
        <v>13.033</v>
      </c>
      <c r="L132" s="125">
        <v>10.9</v>
      </c>
      <c r="M132" s="419">
        <v>5191</v>
      </c>
      <c r="N132" s="124">
        <v>45</v>
      </c>
      <c r="O132" s="424">
        <v>2020</v>
      </c>
    </row>
    <row r="133" spans="1:15" ht="15.75">
      <c r="A133" s="414">
        <v>16</v>
      </c>
      <c r="B133" s="124"/>
      <c r="C133" s="408"/>
      <c r="D133" s="124"/>
      <c r="E133" s="115" t="s">
        <v>512</v>
      </c>
      <c r="F133" s="125">
        <v>4.8</v>
      </c>
      <c r="G133" s="418">
        <v>2.5</v>
      </c>
      <c r="H133" s="124">
        <v>475</v>
      </c>
      <c r="I133" s="408">
        <v>2</v>
      </c>
      <c r="J133" s="124">
        <v>100</v>
      </c>
      <c r="K133" s="408">
        <v>14.244</v>
      </c>
      <c r="L133" s="125">
        <v>13.7</v>
      </c>
      <c r="M133" s="419">
        <v>11524</v>
      </c>
      <c r="N133" s="127">
        <v>10</v>
      </c>
      <c r="O133" s="424">
        <v>2020</v>
      </c>
    </row>
    <row r="134" spans="1:15" ht="15.75">
      <c r="A134" s="416">
        <v>17</v>
      </c>
      <c r="B134" s="230"/>
      <c r="C134" s="229"/>
      <c r="D134" s="230"/>
      <c r="E134" s="282" t="s">
        <v>515</v>
      </c>
      <c r="F134" s="230"/>
      <c r="G134" s="425">
        <v>8.9</v>
      </c>
      <c r="H134" s="230"/>
      <c r="I134" s="229">
        <v>7</v>
      </c>
      <c r="J134" s="230">
        <v>650</v>
      </c>
      <c r="K134" s="229">
        <v>7.746</v>
      </c>
      <c r="L134" s="306">
        <v>16.5</v>
      </c>
      <c r="M134" s="427">
        <v>9307</v>
      </c>
      <c r="N134" s="308">
        <v>165</v>
      </c>
      <c r="O134" s="230">
        <v>2020</v>
      </c>
    </row>
    <row r="135" spans="1:15" ht="15.75">
      <c r="A135" s="415">
        <v>18</v>
      </c>
      <c r="B135" s="521" t="s">
        <v>104</v>
      </c>
      <c r="C135" s="225"/>
      <c r="D135" s="503">
        <v>9</v>
      </c>
      <c r="E135" s="266" t="s">
        <v>512</v>
      </c>
      <c r="F135" s="226">
        <v>11.944</v>
      </c>
      <c r="G135" s="428">
        <v>23.6</v>
      </c>
      <c r="H135" s="226"/>
      <c r="I135" s="225">
        <v>20</v>
      </c>
      <c r="J135" s="432">
        <v>1075</v>
      </c>
      <c r="K135" s="225"/>
      <c r="L135" s="226">
        <v>48.292</v>
      </c>
      <c r="M135" s="426">
        <v>24968</v>
      </c>
      <c r="N135" s="432">
        <v>1730</v>
      </c>
      <c r="O135" s="227">
        <v>2020</v>
      </c>
    </row>
    <row r="136" spans="1:15" ht="15.75">
      <c r="A136" s="414">
        <v>19</v>
      </c>
      <c r="B136" s="521"/>
      <c r="C136" s="408"/>
      <c r="D136" s="519"/>
      <c r="E136" s="115" t="s">
        <v>521</v>
      </c>
      <c r="F136" s="124"/>
      <c r="G136" s="418">
        <v>12.6</v>
      </c>
      <c r="H136" s="124"/>
      <c r="I136" s="408">
        <v>9</v>
      </c>
      <c r="J136" s="124">
        <v>450</v>
      </c>
      <c r="K136" s="418">
        <v>2.32</v>
      </c>
      <c r="L136" s="125">
        <v>18.5</v>
      </c>
      <c r="M136" s="419">
        <v>10110</v>
      </c>
      <c r="N136" s="124">
        <v>770</v>
      </c>
      <c r="O136" s="424">
        <v>2020</v>
      </c>
    </row>
    <row r="137" spans="1:15" ht="15.75">
      <c r="A137" s="414">
        <v>20</v>
      </c>
      <c r="B137" s="124"/>
      <c r="C137" s="408"/>
      <c r="D137" s="409"/>
      <c r="E137" s="115" t="s">
        <v>523</v>
      </c>
      <c r="F137" s="124">
        <v>7.039</v>
      </c>
      <c r="G137" s="418">
        <v>8</v>
      </c>
      <c r="H137" s="124"/>
      <c r="I137" s="408">
        <v>7</v>
      </c>
      <c r="J137" s="124">
        <v>400</v>
      </c>
      <c r="K137" s="408">
        <v>13.242</v>
      </c>
      <c r="L137" s="125">
        <v>11.48</v>
      </c>
      <c r="M137" s="419">
        <v>9790</v>
      </c>
      <c r="N137" s="124">
        <v>110</v>
      </c>
      <c r="O137" s="424">
        <v>2020</v>
      </c>
    </row>
    <row r="138" spans="1:15" ht="15.75">
      <c r="A138" s="414">
        <v>21</v>
      </c>
      <c r="B138" s="124"/>
      <c r="C138" s="408"/>
      <c r="D138" s="409"/>
      <c r="E138" s="115" t="s">
        <v>524</v>
      </c>
      <c r="F138" s="124"/>
      <c r="G138" s="408"/>
      <c r="H138" s="124"/>
      <c r="I138" s="408"/>
      <c r="J138" s="124"/>
      <c r="K138" s="408">
        <v>3.676</v>
      </c>
      <c r="L138" s="125">
        <v>6</v>
      </c>
      <c r="M138" s="419">
        <v>2036</v>
      </c>
      <c r="N138" s="124">
        <v>40</v>
      </c>
      <c r="O138" s="424">
        <v>2020</v>
      </c>
    </row>
    <row r="139" spans="1:15" ht="15.75">
      <c r="A139" s="414">
        <v>22</v>
      </c>
      <c r="B139" s="124"/>
      <c r="C139" s="408"/>
      <c r="D139" s="409"/>
      <c r="E139" s="115" t="s">
        <v>525</v>
      </c>
      <c r="F139" s="124"/>
      <c r="G139" s="418">
        <v>5</v>
      </c>
      <c r="H139" s="124"/>
      <c r="I139" s="408">
        <v>6</v>
      </c>
      <c r="J139" s="124">
        <v>300</v>
      </c>
      <c r="K139" s="408">
        <v>4.075</v>
      </c>
      <c r="L139" s="125">
        <v>12</v>
      </c>
      <c r="M139" s="419">
        <v>6126</v>
      </c>
      <c r="N139" s="124">
        <v>185</v>
      </c>
      <c r="O139" s="424">
        <v>2020</v>
      </c>
    </row>
    <row r="140" spans="1:15" ht="15.75">
      <c r="A140" s="414">
        <v>23</v>
      </c>
      <c r="B140" s="124"/>
      <c r="C140" s="408"/>
      <c r="D140" s="409"/>
      <c r="E140" s="115" t="s">
        <v>526</v>
      </c>
      <c r="F140" s="124"/>
      <c r="G140" s="418">
        <v>3.25</v>
      </c>
      <c r="H140" s="124"/>
      <c r="I140" s="408">
        <v>5</v>
      </c>
      <c r="J140" s="124">
        <v>475</v>
      </c>
      <c r="K140" s="408">
        <v>17.289</v>
      </c>
      <c r="L140" s="124">
        <v>8.738</v>
      </c>
      <c r="M140" s="419">
        <v>7549</v>
      </c>
      <c r="N140" s="124">
        <v>60</v>
      </c>
      <c r="O140" s="424">
        <v>2020</v>
      </c>
    </row>
    <row r="141" spans="1:15" ht="15.75">
      <c r="A141" s="414">
        <v>24</v>
      </c>
      <c r="B141" s="124"/>
      <c r="C141" s="408"/>
      <c r="D141" s="409"/>
      <c r="E141" s="115" t="s">
        <v>527</v>
      </c>
      <c r="F141" s="124">
        <v>7.527</v>
      </c>
      <c r="G141" s="418">
        <v>5.7</v>
      </c>
      <c r="H141" s="124"/>
      <c r="I141" s="408">
        <v>5</v>
      </c>
      <c r="J141" s="124">
        <v>275</v>
      </c>
      <c r="K141" s="408">
        <v>19.394</v>
      </c>
      <c r="L141" s="125">
        <v>12.6</v>
      </c>
      <c r="M141" s="419">
        <v>15608</v>
      </c>
      <c r="N141" s="124">
        <v>120</v>
      </c>
      <c r="O141" s="424">
        <v>2020</v>
      </c>
    </row>
    <row r="142" spans="1:15" ht="15.75">
      <c r="A142" s="414">
        <v>25</v>
      </c>
      <c r="B142" s="124"/>
      <c r="C142" s="408"/>
      <c r="D142" s="409"/>
      <c r="E142" s="115" t="s">
        <v>528</v>
      </c>
      <c r="F142" s="124">
        <v>6.121</v>
      </c>
      <c r="G142" s="418">
        <v>4</v>
      </c>
      <c r="H142" s="124"/>
      <c r="I142" s="408">
        <v>5</v>
      </c>
      <c r="J142" s="124">
        <v>500</v>
      </c>
      <c r="K142" s="408">
        <v>11.112</v>
      </c>
      <c r="L142" s="124">
        <v>25.322</v>
      </c>
      <c r="M142" s="419">
        <v>17428</v>
      </c>
      <c r="N142" s="127">
        <v>150</v>
      </c>
      <c r="O142" s="424">
        <v>2020</v>
      </c>
    </row>
    <row r="143" spans="1:15" ht="15.75">
      <c r="A143" s="416">
        <v>26</v>
      </c>
      <c r="B143" s="230"/>
      <c r="C143" s="229"/>
      <c r="D143" s="410"/>
      <c r="E143" s="282" t="s">
        <v>530</v>
      </c>
      <c r="F143" s="230"/>
      <c r="G143" s="425">
        <v>18.09</v>
      </c>
      <c r="H143" s="230"/>
      <c r="I143" s="229">
        <v>15</v>
      </c>
      <c r="J143" s="308">
        <v>1000</v>
      </c>
      <c r="K143" s="425">
        <v>11.96</v>
      </c>
      <c r="L143" s="230">
        <v>25.295</v>
      </c>
      <c r="M143" s="427">
        <v>15846</v>
      </c>
      <c r="N143" s="230">
        <v>39</v>
      </c>
      <c r="O143" s="230">
        <v>2020</v>
      </c>
    </row>
    <row r="144" spans="1:15" ht="15.75">
      <c r="A144" s="415">
        <v>27</v>
      </c>
      <c r="B144" s="521" t="s">
        <v>126</v>
      </c>
      <c r="C144" s="225"/>
      <c r="D144" s="503">
        <v>10</v>
      </c>
      <c r="E144" s="376" t="s">
        <v>534</v>
      </c>
      <c r="F144" s="226"/>
      <c r="G144" s="428">
        <v>1.5</v>
      </c>
      <c r="H144" s="226"/>
      <c r="I144" s="225">
        <v>1</v>
      </c>
      <c r="J144" s="226">
        <v>50</v>
      </c>
      <c r="K144" s="225"/>
      <c r="L144" s="433">
        <v>2.5</v>
      </c>
      <c r="M144" s="426">
        <v>1250</v>
      </c>
      <c r="N144" s="226">
        <v>40</v>
      </c>
      <c r="O144" s="227">
        <v>2020</v>
      </c>
    </row>
    <row r="145" spans="1:15" ht="15.75">
      <c r="A145" s="414">
        <v>28</v>
      </c>
      <c r="B145" s="527"/>
      <c r="C145" s="408"/>
      <c r="D145" s="519"/>
      <c r="E145" s="151" t="s">
        <v>536</v>
      </c>
      <c r="F145" s="124"/>
      <c r="G145" s="418">
        <v>3</v>
      </c>
      <c r="H145" s="124"/>
      <c r="I145" s="408">
        <v>3</v>
      </c>
      <c r="J145" s="124">
        <v>150</v>
      </c>
      <c r="K145" s="408"/>
      <c r="L145" s="125">
        <v>4.5</v>
      </c>
      <c r="M145" s="419">
        <v>2500</v>
      </c>
      <c r="N145" s="124">
        <v>65</v>
      </c>
      <c r="O145" s="424">
        <v>2020</v>
      </c>
    </row>
    <row r="146" spans="1:15" ht="15.75">
      <c r="A146" s="414">
        <v>29</v>
      </c>
      <c r="B146" s="528"/>
      <c r="C146" s="408"/>
      <c r="D146" s="409"/>
      <c r="E146" s="151" t="s">
        <v>537</v>
      </c>
      <c r="F146" s="124"/>
      <c r="G146" s="418">
        <v>0.8</v>
      </c>
      <c r="H146" s="124"/>
      <c r="I146" s="408">
        <v>1</v>
      </c>
      <c r="J146" s="124">
        <v>50</v>
      </c>
      <c r="K146" s="408"/>
      <c r="L146" s="125">
        <v>3</v>
      </c>
      <c r="M146" s="419">
        <v>980</v>
      </c>
      <c r="N146" s="124">
        <v>30</v>
      </c>
      <c r="O146" s="424">
        <v>2020</v>
      </c>
    </row>
    <row r="147" spans="1:15" ht="15.75">
      <c r="A147" s="414">
        <v>30</v>
      </c>
      <c r="B147" s="124"/>
      <c r="C147" s="408"/>
      <c r="D147" s="409"/>
      <c r="E147" s="151" t="s">
        <v>538</v>
      </c>
      <c r="F147" s="124"/>
      <c r="G147" s="418">
        <v>4</v>
      </c>
      <c r="H147" s="124"/>
      <c r="I147" s="408">
        <v>3</v>
      </c>
      <c r="J147" s="124">
        <v>150</v>
      </c>
      <c r="K147" s="408"/>
      <c r="L147" s="125">
        <v>8</v>
      </c>
      <c r="M147" s="419">
        <v>4200</v>
      </c>
      <c r="N147" s="124">
        <v>65</v>
      </c>
      <c r="O147" s="424">
        <v>2020</v>
      </c>
    </row>
    <row r="148" spans="1:15" ht="15.75">
      <c r="A148" s="414">
        <v>31</v>
      </c>
      <c r="B148" s="124"/>
      <c r="C148" s="408"/>
      <c r="D148" s="409"/>
      <c r="E148" s="151" t="s">
        <v>539</v>
      </c>
      <c r="F148" s="124"/>
      <c r="G148" s="418">
        <v>1.5</v>
      </c>
      <c r="H148" s="124">
        <v>750</v>
      </c>
      <c r="I148" s="408">
        <v>2</v>
      </c>
      <c r="J148" s="124">
        <v>100</v>
      </c>
      <c r="K148" s="418">
        <v>2.5</v>
      </c>
      <c r="L148" s="125">
        <v>3</v>
      </c>
      <c r="M148" s="419">
        <v>4600</v>
      </c>
      <c r="N148" s="124">
        <v>35</v>
      </c>
      <c r="O148" s="424">
        <v>2020</v>
      </c>
    </row>
    <row r="149" spans="1:15" ht="15.75">
      <c r="A149" s="414">
        <v>32</v>
      </c>
      <c r="B149" s="124"/>
      <c r="C149" s="408"/>
      <c r="D149" s="409"/>
      <c r="E149" s="151" t="s">
        <v>541</v>
      </c>
      <c r="F149" s="124"/>
      <c r="G149" s="418">
        <v>1.3</v>
      </c>
      <c r="H149" s="124"/>
      <c r="I149" s="408">
        <v>1</v>
      </c>
      <c r="J149" s="124">
        <v>50</v>
      </c>
      <c r="K149" s="418"/>
      <c r="L149" s="125">
        <v>3.5</v>
      </c>
      <c r="M149" s="419">
        <v>1300</v>
      </c>
      <c r="N149" s="124">
        <v>32</v>
      </c>
      <c r="O149" s="424">
        <v>2020</v>
      </c>
    </row>
    <row r="150" spans="1:15" ht="15.75">
      <c r="A150" s="414">
        <v>33</v>
      </c>
      <c r="B150" s="124"/>
      <c r="C150" s="408"/>
      <c r="D150" s="409"/>
      <c r="E150" s="151" t="s">
        <v>542</v>
      </c>
      <c r="F150" s="124"/>
      <c r="G150" s="418">
        <v>3</v>
      </c>
      <c r="H150" s="124"/>
      <c r="I150" s="408">
        <v>4</v>
      </c>
      <c r="J150" s="124">
        <v>200</v>
      </c>
      <c r="K150" s="418"/>
      <c r="L150" s="125">
        <v>5.5</v>
      </c>
      <c r="M150" s="419">
        <v>1800</v>
      </c>
      <c r="N150" s="124">
        <v>80</v>
      </c>
      <c r="O150" s="424">
        <v>2020</v>
      </c>
    </row>
    <row r="151" spans="1:15" ht="15.75">
      <c r="A151" s="414">
        <v>34</v>
      </c>
      <c r="B151" s="124"/>
      <c r="C151" s="408"/>
      <c r="D151" s="409"/>
      <c r="E151" s="151" t="s">
        <v>544</v>
      </c>
      <c r="F151" s="124"/>
      <c r="G151" s="418">
        <v>1.2</v>
      </c>
      <c r="H151" s="124"/>
      <c r="I151" s="408">
        <v>3</v>
      </c>
      <c r="J151" s="124">
        <v>150</v>
      </c>
      <c r="K151" s="418"/>
      <c r="L151" s="125">
        <v>4.8</v>
      </c>
      <c r="M151" s="419">
        <v>1600</v>
      </c>
      <c r="N151" s="124">
        <v>42</v>
      </c>
      <c r="O151" s="424">
        <v>2020</v>
      </c>
    </row>
    <row r="152" spans="1:15" ht="15.75">
      <c r="A152" s="414">
        <v>35</v>
      </c>
      <c r="B152" s="124"/>
      <c r="C152" s="408"/>
      <c r="D152" s="409"/>
      <c r="E152" s="151" t="s">
        <v>545</v>
      </c>
      <c r="F152" s="124"/>
      <c r="G152" s="418">
        <v>3</v>
      </c>
      <c r="H152" s="124">
        <v>610</v>
      </c>
      <c r="I152" s="408">
        <v>3</v>
      </c>
      <c r="J152" s="124">
        <v>150</v>
      </c>
      <c r="K152" s="418">
        <v>5.5</v>
      </c>
      <c r="L152" s="125">
        <v>6</v>
      </c>
      <c r="M152" s="419">
        <v>6500</v>
      </c>
      <c r="N152" s="124">
        <v>35</v>
      </c>
      <c r="O152" s="424">
        <v>2020</v>
      </c>
    </row>
    <row r="153" spans="1:15" ht="15.75">
      <c r="A153" s="414">
        <v>36</v>
      </c>
      <c r="B153" s="124"/>
      <c r="C153" s="408"/>
      <c r="D153" s="409"/>
      <c r="E153" s="151" t="s">
        <v>546</v>
      </c>
      <c r="F153" s="125">
        <v>2.2</v>
      </c>
      <c r="G153" s="418">
        <v>1.2</v>
      </c>
      <c r="H153" s="124">
        <v>610</v>
      </c>
      <c r="I153" s="408">
        <v>2</v>
      </c>
      <c r="J153" s="124">
        <v>410</v>
      </c>
      <c r="K153" s="418">
        <v>5.5</v>
      </c>
      <c r="L153" s="125">
        <v>5.5</v>
      </c>
      <c r="M153" s="419">
        <v>5200</v>
      </c>
      <c r="N153" s="124">
        <v>10</v>
      </c>
      <c r="O153" s="424">
        <v>2020</v>
      </c>
    </row>
    <row r="154" spans="1:15" ht="15.75">
      <c r="A154" s="414"/>
      <c r="B154" s="219"/>
      <c r="C154" s="216"/>
      <c r="D154" s="219"/>
      <c r="E154" s="216"/>
      <c r="F154" s="219"/>
      <c r="G154" s="216"/>
      <c r="H154" s="219"/>
      <c r="I154" s="216"/>
      <c r="J154" s="219"/>
      <c r="K154" s="216"/>
      <c r="L154" s="219"/>
      <c r="M154" s="439"/>
      <c r="N154" s="219"/>
      <c r="O154" s="228"/>
    </row>
    <row r="155" spans="1:15" s="74" customFormat="1" ht="12.75">
      <c r="A155" s="508" t="s">
        <v>395</v>
      </c>
      <c r="B155" s="509"/>
      <c r="C155" s="225"/>
      <c r="D155" s="226"/>
      <c r="E155" s="225"/>
      <c r="F155" s="434">
        <f aca="true" t="shared" si="0" ref="F155:N155">SUM(F118:F153)</f>
        <v>59.50600000000001</v>
      </c>
      <c r="G155" s="434">
        <f t="shared" si="0"/>
        <v>233.37499999999997</v>
      </c>
      <c r="H155" s="435">
        <f t="shared" si="0"/>
        <v>4045</v>
      </c>
      <c r="I155" s="435">
        <f t="shared" si="0"/>
        <v>205</v>
      </c>
      <c r="J155" s="435">
        <f t="shared" si="0"/>
        <v>12110</v>
      </c>
      <c r="K155" s="434">
        <f t="shared" si="0"/>
        <v>201.70800000000003</v>
      </c>
      <c r="L155" s="434">
        <f t="shared" si="0"/>
        <v>343.598</v>
      </c>
      <c r="M155" s="435">
        <f t="shared" si="0"/>
        <v>257799</v>
      </c>
      <c r="N155" s="435">
        <f t="shared" si="0"/>
        <v>5548</v>
      </c>
      <c r="O155" s="227"/>
    </row>
    <row r="156" spans="1:15" s="74" customFormat="1" ht="12.75">
      <c r="A156" s="505" t="s">
        <v>396</v>
      </c>
      <c r="B156" s="506"/>
      <c r="C156" s="229"/>
      <c r="D156" s="230"/>
      <c r="E156" s="229"/>
      <c r="F156" s="230"/>
      <c r="G156" s="229"/>
      <c r="H156" s="230"/>
      <c r="I156" s="229"/>
      <c r="J156" s="230"/>
      <c r="K156" s="229"/>
      <c r="L156" s="230"/>
      <c r="M156" s="229"/>
      <c r="N156" s="230"/>
      <c r="O156" s="228"/>
    </row>
    <row r="157" spans="1:15" s="74" customFormat="1" ht="12.75">
      <c r="A157" s="508" t="s">
        <v>395</v>
      </c>
      <c r="B157" s="509"/>
      <c r="C157" s="225"/>
      <c r="D157" s="226"/>
      <c r="E157" s="225"/>
      <c r="F157" s="434">
        <f aca="true" t="shared" si="1" ref="F157:N157">SUM(F16:F115)</f>
        <v>99.45899999999999</v>
      </c>
      <c r="G157" s="434">
        <f t="shared" si="1"/>
        <v>352.2509999999999</v>
      </c>
      <c r="H157" s="436">
        <f t="shared" si="1"/>
        <v>26912.5</v>
      </c>
      <c r="I157" s="435">
        <f t="shared" si="1"/>
        <v>297</v>
      </c>
      <c r="J157" s="435">
        <f t="shared" si="1"/>
        <v>20160</v>
      </c>
      <c r="K157" s="434">
        <f t="shared" si="1"/>
        <v>804.4147249999997</v>
      </c>
      <c r="L157" s="434">
        <f t="shared" si="1"/>
        <v>510.43100000000004</v>
      </c>
      <c r="M157" s="435">
        <f t="shared" si="1"/>
        <v>510519</v>
      </c>
      <c r="N157" s="435">
        <f t="shared" si="1"/>
        <v>2391</v>
      </c>
      <c r="O157" s="227"/>
    </row>
    <row r="158" spans="1:15" s="74" customFormat="1" ht="12.75">
      <c r="A158" s="505" t="s">
        <v>397</v>
      </c>
      <c r="B158" s="506"/>
      <c r="C158" s="229"/>
      <c r="D158" s="230"/>
      <c r="E158" s="229"/>
      <c r="F158" s="230"/>
      <c r="G158" s="229"/>
      <c r="H158" s="230"/>
      <c r="I158" s="229"/>
      <c r="J158" s="230"/>
      <c r="K158" s="229"/>
      <c r="L158" s="230"/>
      <c r="M158" s="229"/>
      <c r="N158" s="230"/>
      <c r="O158" s="228"/>
    </row>
  </sheetData>
  <sheetProtection/>
  <mergeCells count="55">
    <mergeCell ref="B144:B146"/>
    <mergeCell ref="D144:D145"/>
    <mergeCell ref="B127:B128"/>
    <mergeCell ref="D127:D128"/>
    <mergeCell ref="B135:B136"/>
    <mergeCell ref="D135:D136"/>
    <mergeCell ref="B104:B106"/>
    <mergeCell ref="C104:C106"/>
    <mergeCell ref="D104:D106"/>
    <mergeCell ref="B120:B121"/>
    <mergeCell ref="D120:D121"/>
    <mergeCell ref="B96:B98"/>
    <mergeCell ref="C96:C98"/>
    <mergeCell ref="D96:D98"/>
    <mergeCell ref="B100:B102"/>
    <mergeCell ref="C100:C102"/>
    <mergeCell ref="D100:D102"/>
    <mergeCell ref="B73:B75"/>
    <mergeCell ref="C73:C75"/>
    <mergeCell ref="D73:D75"/>
    <mergeCell ref="B87:B90"/>
    <mergeCell ref="C87:C90"/>
    <mergeCell ref="D87:D90"/>
    <mergeCell ref="B57:B59"/>
    <mergeCell ref="C57:C59"/>
    <mergeCell ref="D57:D59"/>
    <mergeCell ref="B67:B69"/>
    <mergeCell ref="C67:C69"/>
    <mergeCell ref="D67:D69"/>
    <mergeCell ref="E10:E14"/>
    <mergeCell ref="B23:B25"/>
    <mergeCell ref="C23:C25"/>
    <mergeCell ref="D23:D25"/>
    <mergeCell ref="C16:C17"/>
    <mergeCell ref="D16:D17"/>
    <mergeCell ref="A157:B157"/>
    <mergeCell ref="C10:D10"/>
    <mergeCell ref="B10:B14"/>
    <mergeCell ref="A10:A14"/>
    <mergeCell ref="B32:B34"/>
    <mergeCell ref="C32:C34"/>
    <mergeCell ref="D32:D34"/>
    <mergeCell ref="B47:B49"/>
    <mergeCell ref="C47:C49"/>
    <mergeCell ref="D47:D49"/>
    <mergeCell ref="A158:B158"/>
    <mergeCell ref="A6:O6"/>
    <mergeCell ref="A7:O7"/>
    <mergeCell ref="A155:B155"/>
    <mergeCell ref="A156:B156"/>
    <mergeCell ref="F10:G10"/>
    <mergeCell ref="I11:J11"/>
    <mergeCell ref="K10:L10"/>
    <mergeCell ref="H10:J10"/>
    <mergeCell ref="B16:B17"/>
  </mergeCells>
  <printOptions horizontalCentered="1"/>
  <pageMargins left="0.25" right="0.2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1">
      <selection activeCell="F164" sqref="F164"/>
    </sheetView>
  </sheetViews>
  <sheetFormatPr defaultColWidth="9.140625" defaultRowHeight="12.75"/>
  <cols>
    <col min="1" max="1" width="4.28125" style="74" customWidth="1"/>
    <col min="2" max="2" width="10.421875" style="74" customWidth="1"/>
    <col min="3" max="3" width="9.140625" style="74" customWidth="1"/>
    <col min="4" max="4" width="10.140625" style="74" customWidth="1"/>
    <col min="5" max="5" width="9.57421875" style="74" customWidth="1"/>
    <col min="6" max="6" width="8.00390625" style="74" customWidth="1"/>
    <col min="7" max="7" width="5.7109375" style="74" customWidth="1"/>
    <col min="8" max="8" width="7.7109375" style="74" customWidth="1"/>
    <col min="9" max="9" width="7.8515625" style="74" customWidth="1"/>
    <col min="10" max="10" width="4.8515625" style="74" customWidth="1"/>
    <col min="11" max="11" width="7.57421875" style="74" customWidth="1"/>
    <col min="12" max="12" width="10.140625" style="74" customWidth="1"/>
    <col min="13" max="13" width="9.421875" style="74" customWidth="1"/>
    <col min="14" max="14" width="8.7109375" style="74" customWidth="1"/>
    <col min="15" max="15" width="7.00390625" style="74" customWidth="1"/>
    <col min="16" max="16" width="6.8515625" style="74" customWidth="1"/>
    <col min="17" max="17" width="9.7109375" style="74" customWidth="1"/>
    <col min="18" max="18" width="9.140625" style="74" customWidth="1"/>
    <col min="19" max="19" width="7.421875" style="74" customWidth="1"/>
    <col min="20" max="16384" width="9.140625" style="74" customWidth="1"/>
  </cols>
  <sheetData>
    <row r="1" spans="2:18" ht="12.75">
      <c r="B1" s="40" t="s">
        <v>562</v>
      </c>
      <c r="R1" s="89" t="s">
        <v>561</v>
      </c>
    </row>
    <row r="2" ht="12.75">
      <c r="B2" s="41" t="s">
        <v>179</v>
      </c>
    </row>
    <row r="3" ht="12.75">
      <c r="B3" s="41" t="s">
        <v>180</v>
      </c>
    </row>
    <row r="7" spans="1:19" ht="15.75">
      <c r="A7" s="507" t="s">
        <v>398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</row>
    <row r="8" spans="1:5" ht="15.75">
      <c r="A8" s="202"/>
      <c r="B8" s="202"/>
      <c r="C8" s="202"/>
      <c r="D8" s="202"/>
      <c r="E8" s="202"/>
    </row>
    <row r="9" spans="1:19" ht="12.75">
      <c r="A9" s="502" t="s">
        <v>0</v>
      </c>
      <c r="B9" s="479" t="s">
        <v>362</v>
      </c>
      <c r="C9" s="514" t="s">
        <v>363</v>
      </c>
      <c r="D9" s="511"/>
      <c r="E9" s="479" t="s">
        <v>371</v>
      </c>
      <c r="F9" s="204" t="s">
        <v>182</v>
      </c>
      <c r="G9" s="514" t="s">
        <v>181</v>
      </c>
      <c r="H9" s="511"/>
      <c r="I9" s="204" t="s">
        <v>182</v>
      </c>
      <c r="J9" s="514" t="s">
        <v>403</v>
      </c>
      <c r="K9" s="511"/>
      <c r="L9" s="514" t="s">
        <v>406</v>
      </c>
      <c r="M9" s="510"/>
      <c r="N9" s="510"/>
      <c r="O9" s="511"/>
      <c r="P9" s="514" t="s">
        <v>185</v>
      </c>
      <c r="Q9" s="510"/>
      <c r="R9" s="510"/>
      <c r="S9" s="511"/>
    </row>
    <row r="10" spans="1:19" ht="12.75">
      <c r="A10" s="503"/>
      <c r="B10" s="480"/>
      <c r="C10" s="204" t="s">
        <v>363</v>
      </c>
      <c r="D10" s="204" t="s">
        <v>367</v>
      </c>
      <c r="E10" s="480"/>
      <c r="F10" s="205" t="s">
        <v>189</v>
      </c>
      <c r="G10" s="204" t="s">
        <v>400</v>
      </c>
      <c r="H10" s="204" t="s">
        <v>401</v>
      </c>
      <c r="I10" s="205" t="s">
        <v>189</v>
      </c>
      <c r="J10" s="204">
        <v>3</v>
      </c>
      <c r="K10" s="204">
        <v>1</v>
      </c>
      <c r="L10" s="204" t="s">
        <v>407</v>
      </c>
      <c r="M10" s="514" t="s">
        <v>192</v>
      </c>
      <c r="N10" s="510"/>
      <c r="O10" s="204" t="s">
        <v>193</v>
      </c>
      <c r="P10" s="512" t="s">
        <v>416</v>
      </c>
      <c r="Q10" s="513"/>
      <c r="R10" s="513"/>
      <c r="S10" s="204" t="s">
        <v>420</v>
      </c>
    </row>
    <row r="11" spans="1:19" ht="12.75">
      <c r="A11" s="503"/>
      <c r="B11" s="480"/>
      <c r="C11" s="205" t="s">
        <v>364</v>
      </c>
      <c r="D11" s="205" t="s">
        <v>368</v>
      </c>
      <c r="E11" s="480"/>
      <c r="F11" s="205" t="s">
        <v>399</v>
      </c>
      <c r="G11" s="211"/>
      <c r="H11" s="205" t="s">
        <v>196</v>
      </c>
      <c r="I11" s="205" t="s">
        <v>402</v>
      </c>
      <c r="J11" s="205" t="s">
        <v>421</v>
      </c>
      <c r="K11" s="205" t="s">
        <v>421</v>
      </c>
      <c r="L11" s="205" t="s">
        <v>408</v>
      </c>
      <c r="M11" s="204" t="s">
        <v>411</v>
      </c>
      <c r="N11" s="203" t="s">
        <v>413</v>
      </c>
      <c r="O11" s="205" t="s">
        <v>163</v>
      </c>
      <c r="P11" s="204" t="s">
        <v>159</v>
      </c>
      <c r="Q11" s="204" t="s">
        <v>417</v>
      </c>
      <c r="R11" s="235" t="s">
        <v>418</v>
      </c>
      <c r="S11" s="205" t="s">
        <v>201</v>
      </c>
    </row>
    <row r="12" spans="1:19" ht="12.75">
      <c r="A12" s="503"/>
      <c r="B12" s="480"/>
      <c r="C12" s="205" t="s">
        <v>365</v>
      </c>
      <c r="D12" s="205" t="s">
        <v>369</v>
      </c>
      <c r="E12" s="480"/>
      <c r="F12" s="205" t="s">
        <v>404</v>
      </c>
      <c r="G12" s="209"/>
      <c r="H12" s="209"/>
      <c r="I12" s="205" t="s">
        <v>404</v>
      </c>
      <c r="J12" s="211"/>
      <c r="K12" s="211"/>
      <c r="L12" s="205" t="s">
        <v>409</v>
      </c>
      <c r="M12" s="205" t="s">
        <v>412</v>
      </c>
      <c r="N12" s="203" t="s">
        <v>414</v>
      </c>
      <c r="O12" s="205" t="s">
        <v>415</v>
      </c>
      <c r="P12" s="205" t="s">
        <v>160</v>
      </c>
      <c r="Q12" s="205" t="s">
        <v>164</v>
      </c>
      <c r="R12" s="236" t="s">
        <v>419</v>
      </c>
      <c r="S12" s="205" t="s">
        <v>172</v>
      </c>
    </row>
    <row r="13" spans="1:19" ht="12.75">
      <c r="A13" s="504"/>
      <c r="B13" s="481"/>
      <c r="C13" s="174" t="s">
        <v>366</v>
      </c>
      <c r="D13" s="174" t="s">
        <v>370</v>
      </c>
      <c r="E13" s="481"/>
      <c r="F13" s="210" t="s">
        <v>202</v>
      </c>
      <c r="G13" s="212" t="s">
        <v>203</v>
      </c>
      <c r="H13" s="212" t="s">
        <v>204</v>
      </c>
      <c r="I13" s="210" t="s">
        <v>202</v>
      </c>
      <c r="J13" s="212" t="s">
        <v>205</v>
      </c>
      <c r="K13" s="212" t="s">
        <v>205</v>
      </c>
      <c r="L13" s="239" t="s">
        <v>410</v>
      </c>
      <c r="M13" s="239" t="s">
        <v>410</v>
      </c>
      <c r="N13" s="456" t="s">
        <v>410</v>
      </c>
      <c r="O13" s="212" t="s">
        <v>7</v>
      </c>
      <c r="P13" s="210" t="s">
        <v>6</v>
      </c>
      <c r="Q13" s="210" t="s">
        <v>6</v>
      </c>
      <c r="R13" s="231" t="s">
        <v>6</v>
      </c>
      <c r="S13" s="210" t="s">
        <v>6</v>
      </c>
    </row>
    <row r="14" spans="1:19" ht="15.75">
      <c r="A14" s="220" t="s">
        <v>167</v>
      </c>
      <c r="B14" s="221" t="s">
        <v>393</v>
      </c>
      <c r="C14" s="213"/>
      <c r="D14" s="217"/>
      <c r="E14" s="217"/>
      <c r="F14" s="224"/>
      <c r="G14" s="234"/>
      <c r="H14" s="233"/>
      <c r="I14" s="234"/>
      <c r="J14" s="233"/>
      <c r="K14" s="234"/>
      <c r="L14" s="233"/>
      <c r="M14" s="234"/>
      <c r="N14" s="233"/>
      <c r="O14" s="234"/>
      <c r="P14" s="233"/>
      <c r="Q14" s="234"/>
      <c r="R14" s="233"/>
      <c r="S14" s="234"/>
    </row>
    <row r="15" spans="1:19" s="248" customFormat="1" ht="13.5" customHeight="1">
      <c r="A15" s="360">
        <v>1</v>
      </c>
      <c r="B15" s="529" t="s">
        <v>429</v>
      </c>
      <c r="C15" s="535">
        <v>7</v>
      </c>
      <c r="D15" s="535">
        <v>7</v>
      </c>
      <c r="E15" s="240" t="s">
        <v>422</v>
      </c>
      <c r="F15" s="246">
        <v>7.2</v>
      </c>
      <c r="G15" s="240">
        <v>14</v>
      </c>
      <c r="H15" s="247">
        <v>2207.5</v>
      </c>
      <c r="I15" s="246">
        <v>21.2</v>
      </c>
      <c r="J15" s="259">
        <v>31</v>
      </c>
      <c r="K15" s="259">
        <v>2430</v>
      </c>
      <c r="L15" s="110">
        <v>436320</v>
      </c>
      <c r="M15" s="110">
        <v>354971</v>
      </c>
      <c r="N15" s="110">
        <v>51550</v>
      </c>
      <c r="O15" s="111">
        <f>(L15-M15-N15)/L15*100</f>
        <v>6.829620462046204</v>
      </c>
      <c r="P15" s="62">
        <v>2496</v>
      </c>
      <c r="Q15" s="194">
        <f>P15</f>
        <v>2496</v>
      </c>
      <c r="R15" s="245"/>
      <c r="S15" s="113">
        <v>100</v>
      </c>
    </row>
    <row r="16" spans="1:19" s="248" customFormat="1" ht="13.5" customHeight="1">
      <c r="A16" s="360">
        <v>2</v>
      </c>
      <c r="B16" s="530"/>
      <c r="C16" s="524"/>
      <c r="D16" s="524"/>
      <c r="E16" s="241" t="s">
        <v>423</v>
      </c>
      <c r="F16" s="249">
        <v>27.4</v>
      </c>
      <c r="G16" s="250">
        <v>21</v>
      </c>
      <c r="H16" s="251">
        <v>5562.5</v>
      </c>
      <c r="I16" s="249">
        <v>29.2</v>
      </c>
      <c r="J16" s="260">
        <v>30</v>
      </c>
      <c r="K16" s="260">
        <v>3601</v>
      </c>
      <c r="L16" s="96">
        <v>777270</v>
      </c>
      <c r="M16" s="96">
        <v>650613</v>
      </c>
      <c r="N16" s="96">
        <v>74954</v>
      </c>
      <c r="O16" s="97">
        <f>(L16-M16-N16)/L16*100</f>
        <v>6.651871293115648</v>
      </c>
      <c r="P16" s="62">
        <v>3193</v>
      </c>
      <c r="Q16" s="194">
        <f aca="true" t="shared" si="0" ref="Q16:Q21">P16</f>
        <v>3193</v>
      </c>
      <c r="R16" s="245"/>
      <c r="S16" s="98">
        <v>100</v>
      </c>
    </row>
    <row r="17" spans="1:19" s="248" customFormat="1" ht="13.5" customHeight="1">
      <c r="A17" s="360">
        <v>3</v>
      </c>
      <c r="B17" s="78"/>
      <c r="C17" s="245"/>
      <c r="D17" s="262"/>
      <c r="E17" s="242" t="s">
        <v>424</v>
      </c>
      <c r="F17" s="252">
        <v>38.2</v>
      </c>
      <c r="G17" s="253">
        <v>25</v>
      </c>
      <c r="H17" s="254">
        <v>5657.5</v>
      </c>
      <c r="I17" s="252">
        <v>37.5</v>
      </c>
      <c r="J17" s="261">
        <v>68</v>
      </c>
      <c r="K17" s="261">
        <v>4922</v>
      </c>
      <c r="L17" s="105">
        <v>1412440</v>
      </c>
      <c r="M17" s="105">
        <v>1148124</v>
      </c>
      <c r="N17" s="105">
        <v>163168</v>
      </c>
      <c r="O17" s="97">
        <f>(L17-M17-N17)/L17*100</f>
        <v>7.161224547591402</v>
      </c>
      <c r="P17" s="62">
        <v>4841</v>
      </c>
      <c r="Q17" s="194">
        <f t="shared" si="0"/>
        <v>4841</v>
      </c>
      <c r="R17" s="245"/>
      <c r="S17" s="106">
        <v>100</v>
      </c>
    </row>
    <row r="18" spans="1:19" s="248" customFormat="1" ht="13.5" customHeight="1">
      <c r="A18" s="360">
        <v>4</v>
      </c>
      <c r="B18" s="78"/>
      <c r="C18" s="245"/>
      <c r="D18" s="262"/>
      <c r="E18" s="243" t="s">
        <v>425</v>
      </c>
      <c r="F18" s="444">
        <f>(3.5+2.2+3.8+1.2+3.5)*1.5</f>
        <v>21.299999999999997</v>
      </c>
      <c r="G18" s="255">
        <v>78</v>
      </c>
      <c r="H18" s="256">
        <v>8815</v>
      </c>
      <c r="I18" s="255">
        <v>76.3</v>
      </c>
      <c r="J18" s="255">
        <v>40</v>
      </c>
      <c r="K18" s="256">
        <v>5347</v>
      </c>
      <c r="L18" s="155">
        <v>1425840</v>
      </c>
      <c r="M18" s="155">
        <v>1236034</v>
      </c>
      <c r="N18" s="155">
        <v>185167</v>
      </c>
      <c r="O18" s="128">
        <f>(L18-M18-N18)*100/L18</f>
        <v>0.32535207316388937</v>
      </c>
      <c r="P18" s="62">
        <v>5116</v>
      </c>
      <c r="Q18" s="194">
        <f t="shared" si="0"/>
        <v>5116</v>
      </c>
      <c r="R18" s="245"/>
      <c r="S18" s="157">
        <v>99.2819716669901</v>
      </c>
    </row>
    <row r="19" spans="1:19" s="248" customFormat="1" ht="13.5" customHeight="1">
      <c r="A19" s="360">
        <v>5</v>
      </c>
      <c r="B19" s="78"/>
      <c r="C19" s="245"/>
      <c r="D19" s="262"/>
      <c r="E19" s="243" t="s">
        <v>426</v>
      </c>
      <c r="F19" s="444">
        <f>(4.7+2+1+2+1.8)*1.6</f>
        <v>18.400000000000002</v>
      </c>
      <c r="G19" s="255">
        <v>34</v>
      </c>
      <c r="H19" s="256">
        <v>3555</v>
      </c>
      <c r="I19" s="255">
        <v>33.26</v>
      </c>
      <c r="J19" s="255">
        <v>26</v>
      </c>
      <c r="K19" s="256">
        <v>4172</v>
      </c>
      <c r="L19" s="155">
        <v>994960</v>
      </c>
      <c r="M19" s="155">
        <v>783737</v>
      </c>
      <c r="N19" s="155">
        <v>157975</v>
      </c>
      <c r="O19" s="156">
        <v>5.35</v>
      </c>
      <c r="P19" s="62">
        <v>3603</v>
      </c>
      <c r="Q19" s="194">
        <f t="shared" si="0"/>
        <v>3603</v>
      </c>
      <c r="R19" s="245"/>
      <c r="S19" s="178">
        <v>100</v>
      </c>
    </row>
    <row r="20" spans="1:19" s="248" customFormat="1" ht="13.5" customHeight="1">
      <c r="A20" s="360">
        <v>6</v>
      </c>
      <c r="B20" s="78"/>
      <c r="C20" s="245"/>
      <c r="D20" s="262"/>
      <c r="E20" s="243" t="s">
        <v>427</v>
      </c>
      <c r="F20" s="444">
        <f>(4.2+2.7+0.8+1.5+0.7+1.07+2.5+0.9+0.9+1.4+2.5+1.3+4)</f>
        <v>24.47</v>
      </c>
      <c r="G20" s="255">
        <v>74</v>
      </c>
      <c r="H20" s="257">
        <v>6697.5</v>
      </c>
      <c r="I20" s="255">
        <v>72.39</v>
      </c>
      <c r="J20" s="255">
        <v>73</v>
      </c>
      <c r="K20" s="256">
        <v>10758</v>
      </c>
      <c r="L20" s="155">
        <v>2241860</v>
      </c>
      <c r="M20" s="155">
        <v>1827416</v>
      </c>
      <c r="N20" s="155">
        <v>233605</v>
      </c>
      <c r="O20" s="156">
        <v>8.07</v>
      </c>
      <c r="P20" s="62">
        <v>8334</v>
      </c>
      <c r="Q20" s="194">
        <f t="shared" si="0"/>
        <v>8334</v>
      </c>
      <c r="R20" s="245"/>
      <c r="S20" s="157">
        <v>99.4510739856802</v>
      </c>
    </row>
    <row r="21" spans="1:19" s="248" customFormat="1" ht="13.5" customHeight="1">
      <c r="A21" s="346">
        <v>7</v>
      </c>
      <c r="B21" s="271"/>
      <c r="C21" s="272"/>
      <c r="D21" s="346"/>
      <c r="E21" s="273" t="s">
        <v>428</v>
      </c>
      <c r="F21" s="445">
        <f>(3.5+1)*1.3</f>
        <v>5.8500000000000005</v>
      </c>
      <c r="G21" s="274">
        <v>10</v>
      </c>
      <c r="H21" s="275">
        <v>765.5</v>
      </c>
      <c r="I21" s="274">
        <v>9.78</v>
      </c>
      <c r="J21" s="274">
        <v>1</v>
      </c>
      <c r="K21" s="276">
        <v>1120</v>
      </c>
      <c r="L21" s="277">
        <v>208850</v>
      </c>
      <c r="M21" s="277">
        <v>187896</v>
      </c>
      <c r="N21" s="277">
        <v>8872</v>
      </c>
      <c r="O21" s="278">
        <v>5.83</v>
      </c>
      <c r="P21" s="279">
        <v>1559</v>
      </c>
      <c r="Q21" s="280">
        <f t="shared" si="0"/>
        <v>1559</v>
      </c>
      <c r="R21" s="272"/>
      <c r="S21" s="281">
        <v>97.92713567839196</v>
      </c>
    </row>
    <row r="22" spans="1:19" s="248" customFormat="1" ht="13.5" customHeight="1">
      <c r="A22" s="361">
        <v>8</v>
      </c>
      <c r="B22" s="533" t="s">
        <v>430</v>
      </c>
      <c r="C22" s="534">
        <v>9</v>
      </c>
      <c r="D22" s="534">
        <v>9</v>
      </c>
      <c r="E22" s="266" t="s">
        <v>431</v>
      </c>
      <c r="F22" s="267">
        <v>27.786</v>
      </c>
      <c r="G22" s="268">
        <v>48</v>
      </c>
      <c r="H22" s="269">
        <f>100+50+2*37.5+50+75+2*37.5+100+2*37.5+100+75+150+100+150+45+160+320+75+160+160+75+160+50+50+2*75+50+75+100+2*37.5+100+50+2*37.5+50+37.5+2*75+37.5+50+50+50+2*75+50+100+100+100+100+50+2*37.5+50+100</f>
        <v>4405</v>
      </c>
      <c r="I22" s="267">
        <v>46.012</v>
      </c>
      <c r="J22" s="268">
        <v>13</v>
      </c>
      <c r="K22" s="268">
        <v>1846</v>
      </c>
      <c r="L22" s="116">
        <f>(M22+N22)/0.9368</f>
        <v>483635.0697409622</v>
      </c>
      <c r="M22" s="118">
        <f>1052687/3</f>
        <v>350895.6666666667</v>
      </c>
      <c r="N22" s="118">
        <f>306521/3</f>
        <v>102173.66666666667</v>
      </c>
      <c r="O22" s="119">
        <f>(L22-M22-N22)/L22*100</f>
        <v>6.320000000000002</v>
      </c>
      <c r="P22" s="268">
        <v>1859</v>
      </c>
      <c r="Q22" s="288">
        <f>P22</f>
        <v>1859</v>
      </c>
      <c r="R22" s="264"/>
      <c r="S22" s="113">
        <v>100</v>
      </c>
    </row>
    <row r="23" spans="1:19" s="248" customFormat="1" ht="13.5" customHeight="1">
      <c r="A23" s="360">
        <v>9</v>
      </c>
      <c r="B23" s="533"/>
      <c r="C23" s="523"/>
      <c r="D23" s="523"/>
      <c r="E23" s="115" t="s">
        <v>432</v>
      </c>
      <c r="F23" s="107">
        <v>34.548</v>
      </c>
      <c r="G23" s="116">
        <v>53</v>
      </c>
      <c r="H23" s="117">
        <f>2*37.5+50+100+50+50+50+3*37.5+150+250+75+25+100+37.5+2*37.5+100+100+50+50+50+37.5+2*37.5+37.5+37.5+37.5+100+50+45+75+2*37.5+37.5+50+50+2*75+25+75+75+2*37.5+100+2*37.5+320+50+100+50+37.5+2*37.5+2*37.5+3*37.5+37.5+37.5+150+150+320+50</f>
        <v>4397.5</v>
      </c>
      <c r="I23" s="107">
        <v>38.963</v>
      </c>
      <c r="J23" s="116">
        <v>33</v>
      </c>
      <c r="K23" s="116">
        <v>2199</v>
      </c>
      <c r="L23" s="116">
        <f>(M23+N23)/0.934</f>
        <v>428591.36331192</v>
      </c>
      <c r="M23" s="118">
        <f>1065289/3</f>
        <v>355096.3333333333</v>
      </c>
      <c r="N23" s="118">
        <f>135624/3</f>
        <v>45208</v>
      </c>
      <c r="O23" s="119">
        <f aca="true" t="shared" si="1" ref="O23:O30">(L23-M23-N23)/L23*100</f>
        <v>6.599999999999998</v>
      </c>
      <c r="P23" s="116">
        <v>2232</v>
      </c>
      <c r="Q23" s="194">
        <f>P23</f>
        <v>2232</v>
      </c>
      <c r="R23" s="245"/>
      <c r="S23" s="113">
        <v>100</v>
      </c>
    </row>
    <row r="24" spans="1:19" s="248" customFormat="1" ht="13.5" customHeight="1">
      <c r="A24" s="360">
        <v>10</v>
      </c>
      <c r="B24" s="530"/>
      <c r="C24" s="524"/>
      <c r="D24" s="524"/>
      <c r="E24" s="115" t="s">
        <v>433</v>
      </c>
      <c r="F24" s="107">
        <v>23.029</v>
      </c>
      <c r="G24" s="116">
        <v>49</v>
      </c>
      <c r="H24" s="117">
        <f>150+15+25+1000+1000+75+37.5+1000+25+15+250+250+75+15+250+37.5+400+25+25+25+75+75+75+75+75+25+25+75+400+75+250+320+45+75+45+160+150+75+75+150+3*37.5+160+150+150+3*37.5+160+250+400+3*25</f>
        <v>8585</v>
      </c>
      <c r="I24" s="107">
        <v>31.93</v>
      </c>
      <c r="J24" s="116">
        <v>33</v>
      </c>
      <c r="K24" s="116">
        <v>2551</v>
      </c>
      <c r="L24" s="116">
        <f>(M24+N24)/0.948</f>
        <v>716716.947960619</v>
      </c>
      <c r="M24" s="118">
        <f>1925689/3</f>
        <v>641896.3333333334</v>
      </c>
      <c r="N24" s="118">
        <f>112654/3</f>
        <v>37551.333333333336</v>
      </c>
      <c r="O24" s="119">
        <f>(L24-M24-N24)/L24*100</f>
        <v>5.200000000000014</v>
      </c>
      <c r="P24" s="116">
        <v>2584</v>
      </c>
      <c r="Q24" s="194">
        <f aca="true" t="shared" si="2" ref="Q24:Q30">P24</f>
        <v>2584</v>
      </c>
      <c r="R24" s="245"/>
      <c r="S24" s="113">
        <v>100</v>
      </c>
    </row>
    <row r="25" spans="1:19" s="248" customFormat="1" ht="13.5" customHeight="1">
      <c r="A25" s="360">
        <v>11</v>
      </c>
      <c r="B25" s="78"/>
      <c r="C25" s="245"/>
      <c r="D25" s="262"/>
      <c r="E25" s="115" t="s">
        <v>434</v>
      </c>
      <c r="F25" s="107">
        <v>18.517</v>
      </c>
      <c r="G25" s="116">
        <v>34</v>
      </c>
      <c r="H25" s="117">
        <f>3*37.5+50+15+2*37.5+100+50+250+320+2*37.5+75+50+50+50+100+30+320+75+320+100+100+25+100+75+150+250+75+50+2*37.5+50+50+37.5+50+50+2*37.5</f>
        <v>3430</v>
      </c>
      <c r="I25" s="107">
        <v>50.772</v>
      </c>
      <c r="J25" s="116">
        <v>20</v>
      </c>
      <c r="K25" s="116">
        <v>3382</v>
      </c>
      <c r="L25" s="116">
        <f>(M25+N25)/0.9375</f>
        <v>735960.1777777779</v>
      </c>
      <c r="M25" s="118">
        <f>1974256/3</f>
        <v>658085.3333333334</v>
      </c>
      <c r="N25" s="118">
        <f>95632/3</f>
        <v>31877.333333333332</v>
      </c>
      <c r="O25" s="119">
        <f t="shared" si="1"/>
        <v>6.25000000000001</v>
      </c>
      <c r="P25" s="116">
        <v>3402</v>
      </c>
      <c r="Q25" s="194">
        <f t="shared" si="2"/>
        <v>3402</v>
      </c>
      <c r="R25" s="245"/>
      <c r="S25" s="113">
        <v>100</v>
      </c>
    </row>
    <row r="26" spans="1:19" s="248" customFormat="1" ht="13.5" customHeight="1">
      <c r="A26" s="360">
        <v>12</v>
      </c>
      <c r="B26" s="78"/>
      <c r="C26" s="245"/>
      <c r="D26" s="262"/>
      <c r="E26" s="115" t="s">
        <v>435</v>
      </c>
      <c r="F26" s="108">
        <v>10.99</v>
      </c>
      <c r="G26" s="116">
        <v>26</v>
      </c>
      <c r="H26" s="117">
        <f>2000+37.5+45+2*75+250+1000+560+250+300+150+250+320+250+160+3*37.5+75+2*37.5+25+45+25+50+50+75+75+3*37.5</f>
        <v>6442.5</v>
      </c>
      <c r="I26" s="107">
        <v>29.632</v>
      </c>
      <c r="J26" s="116">
        <v>24</v>
      </c>
      <c r="K26" s="116">
        <v>2191</v>
      </c>
      <c r="L26" s="116">
        <f>(M26+N26)/0.9425</f>
        <v>976880.9902740936</v>
      </c>
      <c r="M26" s="118">
        <f>2563895/3</f>
        <v>854631.6666666666</v>
      </c>
      <c r="N26" s="118">
        <f>198236/3</f>
        <v>66078.66666666667</v>
      </c>
      <c r="O26" s="119">
        <f t="shared" si="1"/>
        <v>5.74999999999999</v>
      </c>
      <c r="P26" s="116">
        <v>2215</v>
      </c>
      <c r="Q26" s="194">
        <f t="shared" si="2"/>
        <v>2215</v>
      </c>
      <c r="R26" s="245"/>
      <c r="S26" s="113">
        <v>100</v>
      </c>
    </row>
    <row r="27" spans="1:19" s="248" customFormat="1" ht="13.5" customHeight="1">
      <c r="A27" s="360">
        <v>13</v>
      </c>
      <c r="B27" s="78"/>
      <c r="C27" s="245"/>
      <c r="D27" s="262"/>
      <c r="E27" s="115" t="s">
        <v>436</v>
      </c>
      <c r="F27" s="107">
        <v>11.978</v>
      </c>
      <c r="G27" s="116">
        <v>16</v>
      </c>
      <c r="H27" s="117">
        <f>50+50+100+100+75+100+25+50+50+25+37.5+160+25+50+250+2*37.5</f>
        <v>1222.5</v>
      </c>
      <c r="I27" s="107">
        <v>20.242</v>
      </c>
      <c r="J27" s="116">
        <v>3</v>
      </c>
      <c r="K27" s="116">
        <v>1309</v>
      </c>
      <c r="L27" s="116">
        <f>(M27+N27)/0.94</f>
        <v>241170.56737588655</v>
      </c>
      <c r="M27" s="118">
        <f>642532/3</f>
        <v>214177.33333333334</v>
      </c>
      <c r="N27" s="118">
        <f>37569/3</f>
        <v>12523</v>
      </c>
      <c r="O27" s="119">
        <f>(L27-M27-N27)/L27*100</f>
        <v>6.0000000000000036</v>
      </c>
      <c r="P27" s="116">
        <v>1312</v>
      </c>
      <c r="Q27" s="194">
        <f t="shared" si="2"/>
        <v>1312</v>
      </c>
      <c r="R27" s="245"/>
      <c r="S27" s="111">
        <v>99.31869795609387</v>
      </c>
    </row>
    <row r="28" spans="1:19" s="248" customFormat="1" ht="13.5" customHeight="1">
      <c r="A28" s="360">
        <v>14</v>
      </c>
      <c r="B28" s="78"/>
      <c r="C28" s="245"/>
      <c r="D28" s="262"/>
      <c r="E28" s="115" t="s">
        <v>437</v>
      </c>
      <c r="F28" s="108">
        <v>13.69</v>
      </c>
      <c r="G28" s="116">
        <v>21</v>
      </c>
      <c r="H28" s="117">
        <f>2*37.5+45+2*75+100+25+50+2*37.5+25+50+25+50+25+25+25+75+37.5+150+75+320+37.5+25</f>
        <v>1465</v>
      </c>
      <c r="I28" s="107">
        <v>15.228</v>
      </c>
      <c r="J28" s="116">
        <v>4</v>
      </c>
      <c r="K28" s="116">
        <v>1430</v>
      </c>
      <c r="L28" s="116">
        <f>(M28+N28)/0.939</f>
        <v>280052.5381611644</v>
      </c>
      <c r="M28" s="118">
        <f>749256/3</f>
        <v>249752</v>
      </c>
      <c r="N28" s="118">
        <f>39652/3</f>
        <v>13217.333333333334</v>
      </c>
      <c r="O28" s="119">
        <f>(L28-M28-N28)/L28*100</f>
        <v>6.100000000000007</v>
      </c>
      <c r="P28" s="116">
        <v>1434</v>
      </c>
      <c r="Q28" s="194">
        <f t="shared" si="2"/>
        <v>1434</v>
      </c>
      <c r="R28" s="245"/>
      <c r="S28" s="111">
        <v>99.79123173277662</v>
      </c>
    </row>
    <row r="29" spans="1:19" s="248" customFormat="1" ht="13.5" customHeight="1">
      <c r="A29" s="360">
        <v>15</v>
      </c>
      <c r="B29" s="78"/>
      <c r="C29" s="245"/>
      <c r="D29" s="262"/>
      <c r="E29" s="115" t="s">
        <v>438</v>
      </c>
      <c r="F29" s="107">
        <v>10.715</v>
      </c>
      <c r="G29" s="116">
        <v>37</v>
      </c>
      <c r="H29" s="117">
        <f>25+3*25+3*15+250+100+250+2*37.5+3*25+75+37.5+37.5+75+250+75+25+2*37.5+50+50+75+150+75+25+45+75+25+250+250+150+75+160+150+160+3*37.5+75+150+180+50</f>
        <v>3877.5</v>
      </c>
      <c r="I29" s="107">
        <v>28.533</v>
      </c>
      <c r="J29" s="116">
        <v>90</v>
      </c>
      <c r="K29" s="116">
        <v>1630</v>
      </c>
      <c r="L29" s="116">
        <f>(M29+N29)/0.9434</f>
        <v>694266.1296021482</v>
      </c>
      <c r="M29" s="118">
        <f>1862547/3</f>
        <v>620849</v>
      </c>
      <c r="N29" s="118">
        <f>102365/3</f>
        <v>34121.666666666664</v>
      </c>
      <c r="O29" s="119">
        <f t="shared" si="1"/>
        <v>5.659999999999992</v>
      </c>
      <c r="P29" s="116">
        <v>1720</v>
      </c>
      <c r="Q29" s="194">
        <f t="shared" si="2"/>
        <v>1720</v>
      </c>
      <c r="R29" s="245"/>
      <c r="S29" s="113">
        <v>100</v>
      </c>
    </row>
    <row r="30" spans="1:19" s="248" customFormat="1" ht="13.5" customHeight="1">
      <c r="A30" s="346">
        <v>16</v>
      </c>
      <c r="B30" s="271"/>
      <c r="C30" s="272"/>
      <c r="D30" s="346"/>
      <c r="E30" s="282" t="s">
        <v>439</v>
      </c>
      <c r="F30" s="283">
        <v>28.492</v>
      </c>
      <c r="G30" s="284">
        <v>26</v>
      </c>
      <c r="H30" s="285">
        <f>37.5+150+75+25+2*37.5+25+3*37.5+75+37.5+37.5+45+400+320+320+2*37.5+75+200+75+75+100+2*75+30+100+2*75+100+15</f>
        <v>2880</v>
      </c>
      <c r="I30" s="283">
        <v>21.786</v>
      </c>
      <c r="J30" s="284">
        <v>74</v>
      </c>
      <c r="K30" s="284">
        <v>2165</v>
      </c>
      <c r="L30" s="284">
        <f>(M30+N30)/0.9457</f>
        <v>496917.62715448876</v>
      </c>
      <c r="M30" s="286">
        <f>1324569/3</f>
        <v>441523</v>
      </c>
      <c r="N30" s="286">
        <f>85236/3</f>
        <v>28412</v>
      </c>
      <c r="O30" s="287">
        <f t="shared" si="1"/>
        <v>5.430000000000003</v>
      </c>
      <c r="P30" s="284">
        <v>2239</v>
      </c>
      <c r="Q30" s="280">
        <f t="shared" si="2"/>
        <v>2239</v>
      </c>
      <c r="R30" s="272"/>
      <c r="S30" s="289">
        <v>99.46690359840072</v>
      </c>
    </row>
    <row r="31" spans="1:19" s="248" customFormat="1" ht="13.5" customHeight="1">
      <c r="A31" s="361">
        <v>17</v>
      </c>
      <c r="B31" s="532" t="s">
        <v>12</v>
      </c>
      <c r="C31" s="534">
        <v>16</v>
      </c>
      <c r="D31" s="534">
        <v>15</v>
      </c>
      <c r="E31" s="124" t="s">
        <v>440</v>
      </c>
      <c r="F31" s="125">
        <f>24.443+3.433</f>
        <v>27.876</v>
      </c>
      <c r="G31" s="62">
        <f>30+8</f>
        <v>38</v>
      </c>
      <c r="H31" s="187">
        <f>2220+840</f>
        <v>3060</v>
      </c>
      <c r="I31" s="125">
        <f>38.834+6.279</f>
        <v>45.113</v>
      </c>
      <c r="J31" s="192">
        <f>424+123</f>
        <v>547</v>
      </c>
      <c r="K31" s="127">
        <f>1676+77</f>
        <v>1753</v>
      </c>
      <c r="L31" s="127">
        <f>352544.491525424+27080</f>
        <v>379624.491525424</v>
      </c>
      <c r="M31" s="127">
        <f>207129+6167</f>
        <v>213296</v>
      </c>
      <c r="N31" s="127">
        <f>125673+18976</f>
        <v>144649</v>
      </c>
      <c r="O31" s="119">
        <f>(L31-M31-N31)/L31*100</f>
        <v>5.710772621205367</v>
      </c>
      <c r="P31" s="336">
        <v>1978</v>
      </c>
      <c r="Q31" s="288">
        <f>P31</f>
        <v>1978</v>
      </c>
      <c r="R31" s="264"/>
      <c r="S31" s="294">
        <v>100</v>
      </c>
    </row>
    <row r="32" spans="1:19" s="248" customFormat="1" ht="13.5" customHeight="1">
      <c r="A32" s="360">
        <v>18</v>
      </c>
      <c r="B32" s="533"/>
      <c r="C32" s="523"/>
      <c r="D32" s="523"/>
      <c r="E32" s="124" t="s">
        <v>441</v>
      </c>
      <c r="F32" s="125">
        <v>17.97</v>
      </c>
      <c r="G32" s="62">
        <f>18+3</f>
        <v>21</v>
      </c>
      <c r="H32" s="187">
        <f>2402.5+260</f>
        <v>2662.5</v>
      </c>
      <c r="I32" s="125">
        <f>43.64+3.704</f>
        <v>47.344</v>
      </c>
      <c r="J32" s="192">
        <f>423+57</f>
        <v>480</v>
      </c>
      <c r="K32" s="127">
        <f>1675+55</f>
        <v>1730</v>
      </c>
      <c r="L32" s="127">
        <f>249877.766069547+14023</f>
        <v>263900.76606954704</v>
      </c>
      <c r="M32" s="127">
        <f>159530+7385</f>
        <v>166915</v>
      </c>
      <c r="N32" s="127">
        <f>77604+5615</f>
        <v>83219</v>
      </c>
      <c r="O32" s="119">
        <f>(L32-M32-N32)/L32*100</f>
        <v>5.216644981590928</v>
      </c>
      <c r="P32" s="62">
        <v>2370</v>
      </c>
      <c r="Q32" s="194">
        <f>P32</f>
        <v>2370</v>
      </c>
      <c r="R32" s="245"/>
      <c r="S32" s="79">
        <v>99.70551114850652</v>
      </c>
    </row>
    <row r="33" spans="1:19" s="248" customFormat="1" ht="13.5" customHeight="1">
      <c r="A33" s="360">
        <v>19</v>
      </c>
      <c r="B33" s="530"/>
      <c r="C33" s="524"/>
      <c r="D33" s="524"/>
      <c r="E33" s="124" t="s">
        <v>442</v>
      </c>
      <c r="F33" s="125">
        <f>26.155+18.276</f>
        <v>44.431</v>
      </c>
      <c r="G33" s="62">
        <f>44+29</f>
        <v>73</v>
      </c>
      <c r="H33" s="187">
        <f>2637.5+3855</f>
        <v>6492.5</v>
      </c>
      <c r="I33" s="125">
        <f>34.777+18.981</f>
        <v>53.758</v>
      </c>
      <c r="J33" s="124">
        <f>43+45</f>
        <v>88</v>
      </c>
      <c r="K33" s="127">
        <f>3153+866</f>
        <v>4019</v>
      </c>
      <c r="L33" s="127">
        <f>4808028.60169492+140937</f>
        <v>4948965.60169492</v>
      </c>
      <c r="M33" s="127">
        <f>526161+116475</f>
        <v>642636</v>
      </c>
      <c r="N33" s="127">
        <f>4012618+16242</f>
        <v>4028860</v>
      </c>
      <c r="O33" s="119">
        <f>(L33-M33-N33)/L33*100</f>
        <v>5.606618110255048</v>
      </c>
      <c r="P33" s="62">
        <v>6433</v>
      </c>
      <c r="Q33" s="194">
        <f aca="true" t="shared" si="3" ref="Q33:Q45">P33</f>
        <v>6433</v>
      </c>
      <c r="R33" s="245"/>
      <c r="S33" s="79">
        <v>99.8602918348339</v>
      </c>
    </row>
    <row r="34" spans="1:19" s="248" customFormat="1" ht="13.5" customHeight="1">
      <c r="A34" s="360">
        <v>20</v>
      </c>
      <c r="B34" s="78"/>
      <c r="C34" s="245"/>
      <c r="D34" s="262"/>
      <c r="E34" s="124" t="s">
        <v>443</v>
      </c>
      <c r="F34" s="125">
        <v>8.566</v>
      </c>
      <c r="G34" s="124">
        <v>20</v>
      </c>
      <c r="H34" s="190">
        <v>2280</v>
      </c>
      <c r="I34" s="191">
        <v>28.886000000000006</v>
      </c>
      <c r="J34" s="124">
        <v>53</v>
      </c>
      <c r="K34" s="127">
        <v>2981</v>
      </c>
      <c r="L34" s="127">
        <v>687477.9411764706</v>
      </c>
      <c r="M34" s="127">
        <v>443290</v>
      </c>
      <c r="N34" s="127">
        <v>211189</v>
      </c>
      <c r="O34" s="189">
        <v>4.8</v>
      </c>
      <c r="P34" s="62">
        <v>2646</v>
      </c>
      <c r="Q34" s="194">
        <f t="shared" si="3"/>
        <v>2646</v>
      </c>
      <c r="R34" s="245"/>
      <c r="S34" s="293">
        <v>100</v>
      </c>
    </row>
    <row r="35" spans="1:19" s="248" customFormat="1" ht="13.5" customHeight="1">
      <c r="A35" s="360">
        <v>21</v>
      </c>
      <c r="B35" s="78"/>
      <c r="C35" s="245"/>
      <c r="D35" s="262"/>
      <c r="E35" s="124" t="s">
        <v>444</v>
      </c>
      <c r="F35" s="125">
        <f>10.244+1.209</f>
        <v>11.453</v>
      </c>
      <c r="G35" s="62">
        <f>39+3</f>
        <v>42</v>
      </c>
      <c r="H35" s="62">
        <f>4640+460</f>
        <v>5100</v>
      </c>
      <c r="I35" s="125">
        <f>57.842+4.239</f>
        <v>62.080999999999996</v>
      </c>
      <c r="J35" s="124">
        <f>150+8</f>
        <v>158</v>
      </c>
      <c r="K35" s="127">
        <f>8439+405</f>
        <v>8844</v>
      </c>
      <c r="L35" s="127">
        <f>1629281.67539267+122227</f>
        <v>1751508.67539267</v>
      </c>
      <c r="M35" s="127">
        <f>639038+107000</f>
        <v>746038</v>
      </c>
      <c r="N35" s="127">
        <f>916926+5989</f>
        <v>922915</v>
      </c>
      <c r="O35" s="119">
        <f>(L35-M35-N35)/L35*100</f>
        <v>4.7134037388745424</v>
      </c>
      <c r="P35" s="62">
        <v>12575</v>
      </c>
      <c r="Q35" s="194">
        <f t="shared" si="3"/>
        <v>12575</v>
      </c>
      <c r="R35" s="245"/>
      <c r="S35" s="293">
        <v>100</v>
      </c>
    </row>
    <row r="36" spans="1:19" s="248" customFormat="1" ht="13.5" customHeight="1">
      <c r="A36" s="360">
        <v>22</v>
      </c>
      <c r="B36" s="78"/>
      <c r="C36" s="245"/>
      <c r="D36" s="262"/>
      <c r="E36" s="124" t="s">
        <v>445</v>
      </c>
      <c r="F36" s="125">
        <v>5.873</v>
      </c>
      <c r="G36" s="62">
        <v>27</v>
      </c>
      <c r="H36" s="187">
        <v>5072.5</v>
      </c>
      <c r="I36" s="125">
        <v>32.973</v>
      </c>
      <c r="J36" s="124">
        <v>220</v>
      </c>
      <c r="K36" s="127">
        <v>6649</v>
      </c>
      <c r="L36" s="127">
        <v>1889812.88981289</v>
      </c>
      <c r="M36" s="127">
        <v>1250000</v>
      </c>
      <c r="N36" s="127">
        <v>568000</v>
      </c>
      <c r="O36" s="189">
        <v>3.8</v>
      </c>
      <c r="P36" s="62">
        <v>10035</v>
      </c>
      <c r="Q36" s="194">
        <f t="shared" si="3"/>
        <v>10035</v>
      </c>
      <c r="R36" s="245"/>
      <c r="S36" s="293">
        <v>100</v>
      </c>
    </row>
    <row r="37" spans="1:19" s="248" customFormat="1" ht="13.5" customHeight="1">
      <c r="A37" s="360">
        <v>23</v>
      </c>
      <c r="B37" s="78"/>
      <c r="C37" s="245"/>
      <c r="D37" s="262"/>
      <c r="E37" s="124" t="s">
        <v>446</v>
      </c>
      <c r="F37" s="125">
        <v>7.167000000000001</v>
      </c>
      <c r="G37" s="62">
        <v>23</v>
      </c>
      <c r="H37" s="187">
        <v>2827</v>
      </c>
      <c r="I37" s="125">
        <v>35.43150000000001</v>
      </c>
      <c r="J37" s="124">
        <v>58</v>
      </c>
      <c r="K37" s="127">
        <v>2955</v>
      </c>
      <c r="L37" s="127">
        <v>1344659.282700422</v>
      </c>
      <c r="M37" s="127">
        <v>460432</v>
      </c>
      <c r="N37" s="127">
        <v>814305</v>
      </c>
      <c r="O37" s="189">
        <v>5.2</v>
      </c>
      <c r="P37" s="62">
        <v>3213</v>
      </c>
      <c r="Q37" s="194">
        <f t="shared" si="3"/>
        <v>3213</v>
      </c>
      <c r="R37" s="245"/>
      <c r="S37" s="293">
        <v>100</v>
      </c>
    </row>
    <row r="38" spans="1:19" s="248" customFormat="1" ht="13.5" customHeight="1">
      <c r="A38" s="360">
        <v>24</v>
      </c>
      <c r="B38" s="78"/>
      <c r="C38" s="245"/>
      <c r="D38" s="262"/>
      <c r="E38" s="124" t="s">
        <v>447</v>
      </c>
      <c r="F38" s="125">
        <v>4.255</v>
      </c>
      <c r="G38" s="62">
        <v>17</v>
      </c>
      <c r="H38" s="187">
        <v>3272.5</v>
      </c>
      <c r="I38" s="125">
        <v>29.925</v>
      </c>
      <c r="J38" s="124">
        <v>152</v>
      </c>
      <c r="K38" s="127">
        <v>4652</v>
      </c>
      <c r="L38" s="127">
        <v>1061114.2857142857</v>
      </c>
      <c r="M38" s="127">
        <v>672473</v>
      </c>
      <c r="N38" s="127">
        <v>330280</v>
      </c>
      <c r="O38" s="189">
        <v>5.5</v>
      </c>
      <c r="P38" s="62">
        <v>4508</v>
      </c>
      <c r="Q38" s="194">
        <f t="shared" si="3"/>
        <v>4508</v>
      </c>
      <c r="R38" s="245"/>
      <c r="S38" s="293">
        <v>100</v>
      </c>
    </row>
    <row r="39" spans="1:19" s="248" customFormat="1" ht="13.5" customHeight="1">
      <c r="A39" s="360">
        <v>25</v>
      </c>
      <c r="B39" s="78"/>
      <c r="C39" s="245"/>
      <c r="D39" s="262"/>
      <c r="E39" s="124" t="s">
        <v>448</v>
      </c>
      <c r="F39" s="125">
        <v>6.308</v>
      </c>
      <c r="G39" s="62">
        <v>16</v>
      </c>
      <c r="H39" s="187">
        <v>1302.5</v>
      </c>
      <c r="I39" s="125">
        <v>21.565</v>
      </c>
      <c r="J39" s="124">
        <v>35</v>
      </c>
      <c r="K39" s="127">
        <v>2813</v>
      </c>
      <c r="L39" s="127">
        <v>699840.5036726128</v>
      </c>
      <c r="M39" s="127">
        <v>399621</v>
      </c>
      <c r="N39" s="127">
        <v>267327</v>
      </c>
      <c r="O39" s="189">
        <v>4.7</v>
      </c>
      <c r="P39" s="62">
        <v>2787</v>
      </c>
      <c r="Q39" s="194">
        <f t="shared" si="3"/>
        <v>2787</v>
      </c>
      <c r="R39" s="245"/>
      <c r="S39" s="293">
        <v>100</v>
      </c>
    </row>
    <row r="40" spans="1:19" s="248" customFormat="1" ht="13.5" customHeight="1">
      <c r="A40" s="360">
        <v>26</v>
      </c>
      <c r="B40" s="78"/>
      <c r="C40" s="245"/>
      <c r="D40" s="262"/>
      <c r="E40" s="124" t="s">
        <v>449</v>
      </c>
      <c r="F40" s="125">
        <v>5.46</v>
      </c>
      <c r="G40" s="62">
        <v>25</v>
      </c>
      <c r="H40" s="187">
        <v>1850</v>
      </c>
      <c r="I40" s="125">
        <v>22.392000000000003</v>
      </c>
      <c r="J40" s="124">
        <v>17</v>
      </c>
      <c r="K40" s="127">
        <v>2593</v>
      </c>
      <c r="L40" s="127">
        <v>546421.6614090431</v>
      </c>
      <c r="M40" s="127">
        <v>367899</v>
      </c>
      <c r="N40" s="127">
        <v>151748</v>
      </c>
      <c r="O40" s="189">
        <v>4.9</v>
      </c>
      <c r="P40" s="62">
        <v>2660</v>
      </c>
      <c r="Q40" s="194">
        <f t="shared" si="3"/>
        <v>2660</v>
      </c>
      <c r="R40" s="245"/>
      <c r="S40" s="293">
        <v>100</v>
      </c>
    </row>
    <row r="41" spans="1:19" s="248" customFormat="1" ht="13.5" customHeight="1">
      <c r="A41" s="360">
        <v>27</v>
      </c>
      <c r="B41" s="78"/>
      <c r="C41" s="245"/>
      <c r="D41" s="262"/>
      <c r="E41" s="78" t="s">
        <v>450</v>
      </c>
      <c r="F41" s="125">
        <v>3.336</v>
      </c>
      <c r="G41" s="62">
        <v>21</v>
      </c>
      <c r="H41" s="187">
        <v>1925</v>
      </c>
      <c r="I41" s="125">
        <v>17.931</v>
      </c>
      <c r="J41" s="124">
        <v>12</v>
      </c>
      <c r="K41" s="127">
        <v>1198</v>
      </c>
      <c r="L41" s="127">
        <v>573819.7064989518</v>
      </c>
      <c r="M41" s="127">
        <v>309861</v>
      </c>
      <c r="N41" s="127">
        <v>237563</v>
      </c>
      <c r="O41" s="189">
        <v>4.6</v>
      </c>
      <c r="P41" s="62">
        <v>2552</v>
      </c>
      <c r="Q41" s="194">
        <f t="shared" si="3"/>
        <v>2552</v>
      </c>
      <c r="R41" s="245"/>
      <c r="S41" s="293">
        <v>100</v>
      </c>
    </row>
    <row r="42" spans="1:19" s="248" customFormat="1" ht="13.5" customHeight="1">
      <c r="A42" s="360">
        <v>28</v>
      </c>
      <c r="B42" s="78"/>
      <c r="C42" s="245"/>
      <c r="D42" s="262"/>
      <c r="E42" s="124" t="s">
        <v>451</v>
      </c>
      <c r="F42" s="125">
        <v>4.51</v>
      </c>
      <c r="G42" s="62">
        <v>14</v>
      </c>
      <c r="H42" s="187">
        <v>1475</v>
      </c>
      <c r="I42" s="125">
        <v>21.64</v>
      </c>
      <c r="J42" s="124">
        <v>18</v>
      </c>
      <c r="K42" s="127">
        <v>2393</v>
      </c>
      <c r="L42" s="127">
        <v>747300.518134715</v>
      </c>
      <c r="M42" s="127">
        <v>625290</v>
      </c>
      <c r="N42" s="127">
        <v>95855</v>
      </c>
      <c r="O42" s="189">
        <v>3.5</v>
      </c>
      <c r="P42" s="62">
        <v>3465</v>
      </c>
      <c r="Q42" s="194">
        <f t="shared" si="3"/>
        <v>3465</v>
      </c>
      <c r="R42" s="245"/>
      <c r="S42" s="293">
        <v>100</v>
      </c>
    </row>
    <row r="43" spans="1:19" s="248" customFormat="1" ht="13.5" customHeight="1">
      <c r="A43" s="360">
        <v>29</v>
      </c>
      <c r="B43" s="78"/>
      <c r="C43" s="245"/>
      <c r="D43" s="262"/>
      <c r="E43" s="124" t="s">
        <v>452</v>
      </c>
      <c r="F43" s="125">
        <v>6.274</v>
      </c>
      <c r="G43" s="124">
        <v>18</v>
      </c>
      <c r="H43" s="124">
        <v>2340</v>
      </c>
      <c r="I43" s="125">
        <v>25.157999999999994</v>
      </c>
      <c r="J43" s="124">
        <v>25</v>
      </c>
      <c r="K43" s="127">
        <v>1976</v>
      </c>
      <c r="L43" s="127">
        <v>397265.11134676565</v>
      </c>
      <c r="M43" s="127">
        <v>275871</v>
      </c>
      <c r="N43" s="127">
        <v>98750</v>
      </c>
      <c r="O43" s="189">
        <v>5.7</v>
      </c>
      <c r="P43" s="62">
        <v>1404</v>
      </c>
      <c r="Q43" s="194">
        <f t="shared" si="3"/>
        <v>1404</v>
      </c>
      <c r="R43" s="245"/>
      <c r="S43" s="293">
        <v>100</v>
      </c>
    </row>
    <row r="44" spans="1:19" s="248" customFormat="1" ht="13.5" customHeight="1">
      <c r="A44" s="360">
        <v>30</v>
      </c>
      <c r="B44" s="78"/>
      <c r="C44" s="245"/>
      <c r="D44" s="262"/>
      <c r="E44" s="124" t="s">
        <v>453</v>
      </c>
      <c r="F44" s="125">
        <v>24.592</v>
      </c>
      <c r="G44" s="62">
        <v>26</v>
      </c>
      <c r="H44" s="187">
        <v>1350</v>
      </c>
      <c r="I44" s="125">
        <v>19.326</v>
      </c>
      <c r="J44" s="124">
        <v>11</v>
      </c>
      <c r="K44" s="127">
        <v>1439</v>
      </c>
      <c r="L44" s="127">
        <v>770578.5036880928</v>
      </c>
      <c r="M44" s="127">
        <v>200474</v>
      </c>
      <c r="N44" s="127">
        <v>530805</v>
      </c>
      <c r="O44" s="189">
        <v>5.1</v>
      </c>
      <c r="P44" s="62">
        <v>1547</v>
      </c>
      <c r="Q44" s="194">
        <f t="shared" si="3"/>
        <v>1547</v>
      </c>
      <c r="R44" s="245"/>
      <c r="S44" s="293">
        <v>100</v>
      </c>
    </row>
    <row r="45" spans="1:19" s="248" customFormat="1" ht="13.5" customHeight="1">
      <c r="A45" s="346">
        <v>31</v>
      </c>
      <c r="B45" s="271"/>
      <c r="C45" s="272"/>
      <c r="D45" s="346"/>
      <c r="E45" s="271" t="s">
        <v>454</v>
      </c>
      <c r="F45" s="295">
        <f>29.7305+5</f>
        <v>34.7305</v>
      </c>
      <c r="G45" s="271">
        <v>47</v>
      </c>
      <c r="H45" s="271">
        <v>5750</v>
      </c>
      <c r="I45" s="295">
        <v>43.3669</v>
      </c>
      <c r="J45" s="271">
        <v>334</v>
      </c>
      <c r="K45" s="280">
        <f>2700-334</f>
        <v>2366</v>
      </c>
      <c r="L45" s="280">
        <f>1699360/3</f>
        <v>566453.3333333334</v>
      </c>
      <c r="M45" s="280">
        <f>1595836/3-N45</f>
        <v>432141.3333333334</v>
      </c>
      <c r="N45" s="280">
        <f>2815+793+817+2806+3220+3358+13562+5618+8526+6922+14871+15794+20702</f>
        <v>99804</v>
      </c>
      <c r="O45" s="296">
        <f>(L45-M45-N45)*100/L45</f>
        <v>6.091940495245268</v>
      </c>
      <c r="P45" s="279">
        <v>2700</v>
      </c>
      <c r="Q45" s="280">
        <f t="shared" si="3"/>
        <v>2700</v>
      </c>
      <c r="R45" s="272"/>
      <c r="S45" s="305">
        <v>100</v>
      </c>
    </row>
    <row r="46" spans="1:19" s="248" customFormat="1" ht="13.5" customHeight="1">
      <c r="A46" s="361">
        <v>32</v>
      </c>
      <c r="B46" s="533" t="s">
        <v>27</v>
      </c>
      <c r="C46" s="534">
        <v>10</v>
      </c>
      <c r="D46" s="534">
        <v>10</v>
      </c>
      <c r="E46" s="226" t="s">
        <v>456</v>
      </c>
      <c r="F46" s="299">
        <v>10.5189</v>
      </c>
      <c r="G46" s="265">
        <v>22</v>
      </c>
      <c r="H46" s="290">
        <v>2185</v>
      </c>
      <c r="I46" s="303">
        <v>35.64200000000001</v>
      </c>
      <c r="J46" s="264">
        <v>56</v>
      </c>
      <c r="K46" s="288">
        <v>3101</v>
      </c>
      <c r="L46" s="290">
        <v>954580.1687763714</v>
      </c>
      <c r="M46" s="288">
        <v>502759</v>
      </c>
      <c r="N46" s="290">
        <v>402183</v>
      </c>
      <c r="O46" s="302">
        <v>5.2</v>
      </c>
      <c r="P46" s="336">
        <v>5507</v>
      </c>
      <c r="Q46" s="288">
        <f>P46</f>
        <v>5507</v>
      </c>
      <c r="R46" s="264"/>
      <c r="S46" s="302">
        <v>99.96369577055727</v>
      </c>
    </row>
    <row r="47" spans="1:19" s="248" customFormat="1" ht="13.5" customHeight="1">
      <c r="A47" s="360">
        <v>33</v>
      </c>
      <c r="B47" s="533"/>
      <c r="C47" s="523"/>
      <c r="D47" s="523"/>
      <c r="E47" s="124" t="s">
        <v>457</v>
      </c>
      <c r="F47" s="244">
        <v>30.276</v>
      </c>
      <c r="G47" s="78">
        <v>46</v>
      </c>
      <c r="H47" s="301">
        <v>2197.5</v>
      </c>
      <c r="I47" s="193">
        <v>56.640225</v>
      </c>
      <c r="J47" s="245">
        <v>35</v>
      </c>
      <c r="K47" s="194">
        <v>3376</v>
      </c>
      <c r="L47" s="291">
        <v>765881.427072403</v>
      </c>
      <c r="M47" s="194">
        <v>325218</v>
      </c>
      <c r="N47" s="291">
        <v>404667</v>
      </c>
      <c r="O47" s="79">
        <v>4.7</v>
      </c>
      <c r="P47" s="62">
        <v>2277</v>
      </c>
      <c r="Q47" s="194">
        <f>P47</f>
        <v>2277</v>
      </c>
      <c r="R47" s="245"/>
      <c r="S47" s="79">
        <v>99</v>
      </c>
    </row>
    <row r="48" spans="1:19" s="248" customFormat="1" ht="13.5" customHeight="1">
      <c r="A48" s="360">
        <v>34</v>
      </c>
      <c r="B48" s="530"/>
      <c r="C48" s="524"/>
      <c r="D48" s="524"/>
      <c r="E48" s="124" t="s">
        <v>458</v>
      </c>
      <c r="F48" s="300">
        <v>18.64</v>
      </c>
      <c r="G48" s="78">
        <v>19</v>
      </c>
      <c r="H48" s="291">
        <v>800</v>
      </c>
      <c r="I48" s="193">
        <v>32.367000000000004</v>
      </c>
      <c r="J48" s="245">
        <v>24</v>
      </c>
      <c r="K48" s="194">
        <v>2778</v>
      </c>
      <c r="L48" s="291">
        <v>721606.4171122995</v>
      </c>
      <c r="M48" s="194">
        <v>316297</v>
      </c>
      <c r="N48" s="291">
        <v>358405</v>
      </c>
      <c r="O48" s="79">
        <v>6.5</v>
      </c>
      <c r="P48" s="62">
        <v>2476</v>
      </c>
      <c r="Q48" s="194">
        <f aca="true" t="shared" si="4" ref="Q48:Q55">P48</f>
        <v>2476</v>
      </c>
      <c r="R48" s="245"/>
      <c r="S48" s="79">
        <v>99.00039984006398</v>
      </c>
    </row>
    <row r="49" spans="1:19" s="248" customFormat="1" ht="13.5" customHeight="1">
      <c r="A49" s="360">
        <v>35</v>
      </c>
      <c r="B49" s="78"/>
      <c r="C49" s="245"/>
      <c r="D49" s="262"/>
      <c r="E49" s="297" t="s">
        <v>459</v>
      </c>
      <c r="F49" s="244">
        <v>17.516</v>
      </c>
      <c r="G49" s="78">
        <v>17</v>
      </c>
      <c r="H49" s="291">
        <v>1720</v>
      </c>
      <c r="I49" s="193">
        <v>36.963</v>
      </c>
      <c r="J49" s="245">
        <v>2</v>
      </c>
      <c r="K49" s="194">
        <v>2293</v>
      </c>
      <c r="L49" s="291">
        <v>401607.0049835053</v>
      </c>
      <c r="M49" s="194">
        <v>363217.3333333333</v>
      </c>
      <c r="N49" s="291">
        <v>18229</v>
      </c>
      <c r="O49" s="79">
        <v>5.02</v>
      </c>
      <c r="P49" s="62">
        <v>2295</v>
      </c>
      <c r="Q49" s="194">
        <f t="shared" si="4"/>
        <v>2295</v>
      </c>
      <c r="R49" s="245"/>
      <c r="S49" s="293">
        <v>100</v>
      </c>
    </row>
    <row r="50" spans="1:19" s="248" customFormat="1" ht="13.5" customHeight="1">
      <c r="A50" s="360">
        <v>36</v>
      </c>
      <c r="B50" s="78"/>
      <c r="C50" s="245"/>
      <c r="D50" s="262"/>
      <c r="E50" s="297" t="s">
        <v>460</v>
      </c>
      <c r="F50" s="244">
        <v>15.175</v>
      </c>
      <c r="G50" s="78">
        <v>30</v>
      </c>
      <c r="H50" s="301">
        <v>4727.5</v>
      </c>
      <c r="I50" s="193">
        <v>28.563</v>
      </c>
      <c r="J50" s="245">
        <v>2</v>
      </c>
      <c r="K50" s="194">
        <v>1977</v>
      </c>
      <c r="L50" s="291">
        <v>411245.62334217504</v>
      </c>
      <c r="M50" s="194">
        <v>366187.3333333333</v>
      </c>
      <c r="N50" s="291">
        <v>21411.666666666668</v>
      </c>
      <c r="O50" s="79">
        <v>5.75</v>
      </c>
      <c r="P50" s="62">
        <v>1979</v>
      </c>
      <c r="Q50" s="194">
        <f t="shared" si="4"/>
        <v>1979</v>
      </c>
      <c r="R50" s="245"/>
      <c r="S50" s="293">
        <v>100</v>
      </c>
    </row>
    <row r="51" spans="1:19" s="248" customFormat="1" ht="13.5" customHeight="1">
      <c r="A51" s="360">
        <v>37</v>
      </c>
      <c r="B51" s="78"/>
      <c r="C51" s="245"/>
      <c r="D51" s="262"/>
      <c r="E51" s="115" t="s">
        <v>461</v>
      </c>
      <c r="F51" s="244">
        <v>8.152</v>
      </c>
      <c r="G51" s="78">
        <v>14</v>
      </c>
      <c r="H51" s="301">
        <v>1892.5</v>
      </c>
      <c r="I51" s="193">
        <v>22.18</v>
      </c>
      <c r="J51" s="245">
        <v>57</v>
      </c>
      <c r="K51" s="194">
        <v>3325</v>
      </c>
      <c r="L51" s="291">
        <v>4183556</v>
      </c>
      <c r="M51" s="194">
        <v>3295181</v>
      </c>
      <c r="N51" s="291">
        <v>656037</v>
      </c>
      <c r="O51" s="79">
        <v>5.55</v>
      </c>
      <c r="P51" s="62">
        <v>3240</v>
      </c>
      <c r="Q51" s="194">
        <f t="shared" si="4"/>
        <v>3240</v>
      </c>
      <c r="R51" s="245"/>
      <c r="S51" s="79">
        <v>99.53917050691244</v>
      </c>
    </row>
    <row r="52" spans="1:19" s="248" customFormat="1" ht="13.5" customHeight="1">
      <c r="A52" s="360">
        <v>38</v>
      </c>
      <c r="B52" s="78"/>
      <c r="C52" s="245"/>
      <c r="D52" s="262"/>
      <c r="E52" s="115" t="s">
        <v>462</v>
      </c>
      <c r="F52" s="244">
        <v>8.486</v>
      </c>
      <c r="G52" s="78">
        <v>13</v>
      </c>
      <c r="H52" s="291">
        <v>2840</v>
      </c>
      <c r="I52" s="193">
        <v>23.714</v>
      </c>
      <c r="J52" s="245">
        <v>78</v>
      </c>
      <c r="K52" s="194">
        <v>3427</v>
      </c>
      <c r="L52" s="291">
        <v>3651312</v>
      </c>
      <c r="M52" s="194">
        <v>2496085</v>
      </c>
      <c r="N52" s="291">
        <v>824243</v>
      </c>
      <c r="O52" s="79">
        <v>9.06</v>
      </c>
      <c r="P52" s="62">
        <v>2812</v>
      </c>
      <c r="Q52" s="194">
        <f t="shared" si="4"/>
        <v>2812</v>
      </c>
      <c r="R52" s="245"/>
      <c r="S52" s="293">
        <v>100</v>
      </c>
    </row>
    <row r="53" spans="1:19" s="248" customFormat="1" ht="13.5" customHeight="1">
      <c r="A53" s="360">
        <v>39</v>
      </c>
      <c r="B53" s="78"/>
      <c r="C53" s="245"/>
      <c r="D53" s="262"/>
      <c r="E53" s="115" t="s">
        <v>463</v>
      </c>
      <c r="F53" s="244">
        <v>11.098</v>
      </c>
      <c r="G53" s="78">
        <v>23</v>
      </c>
      <c r="H53" s="301">
        <v>4052.5</v>
      </c>
      <c r="I53" s="193">
        <v>31.295</v>
      </c>
      <c r="J53" s="245">
        <v>120</v>
      </c>
      <c r="K53" s="194">
        <v>4465</v>
      </c>
      <c r="L53" s="291">
        <v>5960748</v>
      </c>
      <c r="M53" s="194">
        <v>4366298</v>
      </c>
      <c r="N53" s="291">
        <v>1316027</v>
      </c>
      <c r="O53" s="79">
        <v>4.67</v>
      </c>
      <c r="P53" s="62">
        <v>4285</v>
      </c>
      <c r="Q53" s="194">
        <f t="shared" si="4"/>
        <v>4285</v>
      </c>
      <c r="R53" s="245"/>
      <c r="S53" s="293">
        <v>100</v>
      </c>
    </row>
    <row r="54" spans="1:19" s="248" customFormat="1" ht="13.5" customHeight="1">
      <c r="A54" s="360">
        <v>40</v>
      </c>
      <c r="B54" s="78"/>
      <c r="C54" s="245"/>
      <c r="D54" s="262"/>
      <c r="E54" s="115" t="s">
        <v>464</v>
      </c>
      <c r="F54" s="244">
        <v>28.826</v>
      </c>
      <c r="G54" s="78">
        <v>41</v>
      </c>
      <c r="H54" s="291">
        <v>6435</v>
      </c>
      <c r="I54" s="193">
        <v>44.355</v>
      </c>
      <c r="J54" s="245">
        <v>654</v>
      </c>
      <c r="K54" s="194">
        <v>4241</v>
      </c>
      <c r="L54" s="291">
        <v>6530202</v>
      </c>
      <c r="M54" s="194">
        <v>4053854</v>
      </c>
      <c r="N54" s="291">
        <v>2036485</v>
      </c>
      <c r="O54" s="79">
        <v>6.74</v>
      </c>
      <c r="P54" s="62">
        <v>4895</v>
      </c>
      <c r="Q54" s="194">
        <f t="shared" si="4"/>
        <v>4895</v>
      </c>
      <c r="R54" s="245"/>
      <c r="S54" s="293">
        <v>100</v>
      </c>
    </row>
    <row r="55" spans="1:19" s="248" customFormat="1" ht="13.5" customHeight="1">
      <c r="A55" s="346">
        <v>41</v>
      </c>
      <c r="B55" s="271"/>
      <c r="C55" s="272"/>
      <c r="D55" s="346"/>
      <c r="E55" s="304" t="s">
        <v>465</v>
      </c>
      <c r="F55" s="270">
        <v>30.604</v>
      </c>
      <c r="G55" s="271">
        <v>37</v>
      </c>
      <c r="H55" s="292">
        <v>5785</v>
      </c>
      <c r="I55" s="295">
        <v>46.261</v>
      </c>
      <c r="J55" s="272">
        <v>403</v>
      </c>
      <c r="K55" s="280">
        <v>4566</v>
      </c>
      <c r="L55" s="292">
        <v>6815304</v>
      </c>
      <c r="M55" s="280">
        <v>4387947</v>
      </c>
      <c r="N55" s="292">
        <v>1989593</v>
      </c>
      <c r="O55" s="296">
        <v>6.42</v>
      </c>
      <c r="P55" s="279">
        <v>4682</v>
      </c>
      <c r="Q55" s="280">
        <f t="shared" si="4"/>
        <v>4682</v>
      </c>
      <c r="R55" s="272"/>
      <c r="S55" s="305">
        <v>100</v>
      </c>
    </row>
    <row r="56" spans="1:19" s="248" customFormat="1" ht="13.5" customHeight="1">
      <c r="A56" s="361">
        <v>42</v>
      </c>
      <c r="B56" s="517" t="s">
        <v>31</v>
      </c>
      <c r="C56" s="534">
        <v>11</v>
      </c>
      <c r="D56" s="534">
        <v>10</v>
      </c>
      <c r="E56" s="124" t="s">
        <v>466</v>
      </c>
      <c r="F56" s="125">
        <f>55.539+4</f>
        <v>59.539</v>
      </c>
      <c r="G56" s="124">
        <v>40</v>
      </c>
      <c r="H56" s="126">
        <v>4335</v>
      </c>
      <c r="I56" s="125">
        <v>42.1966</v>
      </c>
      <c r="J56" s="124">
        <v>22</v>
      </c>
      <c r="K56" s="127">
        <v>2840</v>
      </c>
      <c r="L56" s="127">
        <f>1142223/3</f>
        <v>380741</v>
      </c>
      <c r="M56" s="127">
        <f>1084521/3-N56</f>
        <v>336959</v>
      </c>
      <c r="N56" s="127">
        <f>35162-2564-8050</f>
        <v>24548</v>
      </c>
      <c r="O56" s="128">
        <f aca="true" t="shared" si="5" ref="O56:O63">(L56-M56-N56)*100/L56</f>
        <v>5.051728077617068</v>
      </c>
      <c r="P56" s="336">
        <v>3120</v>
      </c>
      <c r="Q56" s="288">
        <f>P56</f>
        <v>3120</v>
      </c>
      <c r="R56" s="264"/>
      <c r="S56" s="302">
        <v>99.52153110047847</v>
      </c>
    </row>
    <row r="57" spans="1:19" s="248" customFormat="1" ht="13.5" customHeight="1">
      <c r="A57" s="360">
        <v>43</v>
      </c>
      <c r="B57" s="518"/>
      <c r="C57" s="523"/>
      <c r="D57" s="523"/>
      <c r="E57" s="124" t="s">
        <v>467</v>
      </c>
      <c r="F57" s="125">
        <f>4.675+2.0824+3</f>
        <v>9.7574</v>
      </c>
      <c r="G57" s="124">
        <v>23</v>
      </c>
      <c r="H57" s="126">
        <v>4400</v>
      </c>
      <c r="I57" s="125">
        <v>12.777</v>
      </c>
      <c r="J57" s="124">
        <v>25</v>
      </c>
      <c r="K57" s="127">
        <v>830</v>
      </c>
      <c r="L57" s="127">
        <f>618623/3</f>
        <v>206207.66666666666</v>
      </c>
      <c r="M57" s="127">
        <f>588722/3-N57</f>
        <v>169488.66666666666</v>
      </c>
      <c r="N57" s="127">
        <f>8114+3484+13683+550+921</f>
        <v>26752</v>
      </c>
      <c r="O57" s="128">
        <f t="shared" si="5"/>
        <v>4.833476931830857</v>
      </c>
      <c r="P57" s="62">
        <v>1003</v>
      </c>
      <c r="Q57" s="194">
        <f>P57</f>
        <v>1003</v>
      </c>
      <c r="R57" s="245"/>
      <c r="S57" s="293">
        <v>100</v>
      </c>
    </row>
    <row r="58" spans="1:19" s="248" customFormat="1" ht="13.5" customHeight="1">
      <c r="A58" s="360">
        <v>44</v>
      </c>
      <c r="B58" s="516"/>
      <c r="C58" s="524"/>
      <c r="D58" s="524"/>
      <c r="E58" s="124" t="s">
        <v>468</v>
      </c>
      <c r="F58" s="125">
        <f>3.66+17.141+5.92+6.317+2</f>
        <v>35.038</v>
      </c>
      <c r="G58" s="124">
        <f>63+12</f>
        <v>75</v>
      </c>
      <c r="H58" s="126">
        <v>4625</v>
      </c>
      <c r="I58" s="125">
        <v>28.8136</v>
      </c>
      <c r="J58" s="124">
        <v>54</v>
      </c>
      <c r="K58" s="127">
        <v>2164</v>
      </c>
      <c r="L58" s="127">
        <f>696420/3</f>
        <v>232140</v>
      </c>
      <c r="M58" s="127">
        <f>658194/3-N58</f>
        <v>216011</v>
      </c>
      <c r="N58" s="127">
        <v>3387</v>
      </c>
      <c r="O58" s="128">
        <f t="shared" si="5"/>
        <v>5.488929094511932</v>
      </c>
      <c r="P58" s="62">
        <v>2590</v>
      </c>
      <c r="Q58" s="194">
        <f aca="true" t="shared" si="6" ref="Q58:Q65">P58</f>
        <v>2590</v>
      </c>
      <c r="R58" s="245"/>
      <c r="S58" s="293">
        <v>100</v>
      </c>
    </row>
    <row r="59" spans="1:19" s="248" customFormat="1" ht="13.5" customHeight="1">
      <c r="A59" s="360">
        <v>45</v>
      </c>
      <c r="B59" s="78"/>
      <c r="C59" s="245"/>
      <c r="D59" s="262"/>
      <c r="E59" s="124" t="s">
        <v>469</v>
      </c>
      <c r="F59" s="125">
        <f>26.892+4.5</f>
        <v>31.392</v>
      </c>
      <c r="G59" s="124">
        <v>66</v>
      </c>
      <c r="H59" s="126">
        <v>10152.5</v>
      </c>
      <c r="I59" s="125">
        <v>61.0134</v>
      </c>
      <c r="J59" s="124">
        <v>90</v>
      </c>
      <c r="K59" s="127">
        <v>4146</v>
      </c>
      <c r="L59" s="127">
        <f>2150510/3</f>
        <v>716836.6666666666</v>
      </c>
      <c r="M59" s="127">
        <f>2049844/3-N59</f>
        <v>640497.3333333334</v>
      </c>
      <c r="N59" s="129">
        <f>2584+2576+891+3419+10531+10312+2337+6513+3621</f>
        <v>42784</v>
      </c>
      <c r="O59" s="128">
        <f t="shared" si="5"/>
        <v>4.681029151224583</v>
      </c>
      <c r="P59" s="62">
        <v>4460</v>
      </c>
      <c r="Q59" s="194">
        <f t="shared" si="6"/>
        <v>4460</v>
      </c>
      <c r="R59" s="245"/>
      <c r="S59" s="79">
        <v>98.4764848752484</v>
      </c>
    </row>
    <row r="60" spans="1:19" s="248" customFormat="1" ht="13.5" customHeight="1">
      <c r="A60" s="360">
        <v>46</v>
      </c>
      <c r="B60" s="78"/>
      <c r="C60" s="245"/>
      <c r="D60" s="262"/>
      <c r="E60" s="124" t="s">
        <v>470</v>
      </c>
      <c r="F60" s="125">
        <f>13.9732+7.638+2.0236</f>
        <v>23.6348</v>
      </c>
      <c r="G60" s="124">
        <v>29</v>
      </c>
      <c r="H60" s="126">
        <v>3462.5</v>
      </c>
      <c r="I60" s="125">
        <v>39.6667</v>
      </c>
      <c r="J60" s="124">
        <v>17</v>
      </c>
      <c r="K60" s="127">
        <v>1570</v>
      </c>
      <c r="L60" s="127">
        <f>924517/3</f>
        <v>308172.3333333333</v>
      </c>
      <c r="M60" s="127">
        <f>882830/3-N60</f>
        <v>225006.6666666667</v>
      </c>
      <c r="N60" s="127">
        <f>2584+2576+891+2387+1898+22201+3419+10531+10312+2337+6513+3621</f>
        <v>69270</v>
      </c>
      <c r="O60" s="128">
        <f t="shared" si="5"/>
        <v>4.509057161739577</v>
      </c>
      <c r="P60" s="62">
        <v>1824</v>
      </c>
      <c r="Q60" s="194">
        <f t="shared" si="6"/>
        <v>1824</v>
      </c>
      <c r="R60" s="245"/>
      <c r="S60" s="293">
        <v>100</v>
      </c>
    </row>
    <row r="61" spans="1:19" s="248" customFormat="1" ht="13.5" customHeight="1">
      <c r="A61" s="360">
        <v>47</v>
      </c>
      <c r="B61" s="78"/>
      <c r="C61" s="245"/>
      <c r="D61" s="262"/>
      <c r="E61" s="124" t="s">
        <v>471</v>
      </c>
      <c r="F61" s="125">
        <f>2.5473+0.466+20.5108+3</f>
        <v>26.5241</v>
      </c>
      <c r="G61" s="124">
        <v>93</v>
      </c>
      <c r="H61" s="126">
        <v>66292.5</v>
      </c>
      <c r="I61" s="125">
        <v>29.7621</v>
      </c>
      <c r="J61" s="124">
        <v>90</v>
      </c>
      <c r="K61" s="127">
        <v>3630</v>
      </c>
      <c r="L61" s="127">
        <f>3317510/3</f>
        <v>1105836.6666666667</v>
      </c>
      <c r="M61" s="127">
        <f>3125648/3-N61</f>
        <v>974623.6666666666</v>
      </c>
      <c r="N61" s="127">
        <f>8639+21572+4284+9610+2963+497+6365+3122+10207</f>
        <v>67259</v>
      </c>
      <c r="O61" s="128">
        <f t="shared" si="5"/>
        <v>5.78331338865596</v>
      </c>
      <c r="P61" s="62">
        <v>5793</v>
      </c>
      <c r="Q61" s="194">
        <f t="shared" si="6"/>
        <v>5793</v>
      </c>
      <c r="R61" s="245"/>
      <c r="S61" s="293">
        <v>100</v>
      </c>
    </row>
    <row r="62" spans="1:19" s="248" customFormat="1" ht="13.5" customHeight="1">
      <c r="A62" s="360">
        <v>48</v>
      </c>
      <c r="B62" s="78"/>
      <c r="C62" s="245"/>
      <c r="D62" s="262"/>
      <c r="E62" s="130" t="s">
        <v>472</v>
      </c>
      <c r="F62" s="131">
        <f>23.217+20.7374+3</f>
        <v>46.9544</v>
      </c>
      <c r="G62" s="130">
        <v>133</v>
      </c>
      <c r="H62" s="132">
        <v>51080</v>
      </c>
      <c r="I62" s="131">
        <v>19.417</v>
      </c>
      <c r="J62" s="130">
        <v>115</v>
      </c>
      <c r="K62" s="133">
        <f>1451-115</f>
        <v>1336</v>
      </c>
      <c r="L62" s="133">
        <f>873690/3</f>
        <v>291230</v>
      </c>
      <c r="M62" s="133">
        <f>829321/3-N62</f>
        <v>261379.3333333333</v>
      </c>
      <c r="N62" s="133">
        <f>8136+5780+1145</f>
        <v>15061</v>
      </c>
      <c r="O62" s="134">
        <f t="shared" si="5"/>
        <v>5.078345866382819</v>
      </c>
      <c r="P62" s="62">
        <v>1573</v>
      </c>
      <c r="Q62" s="194">
        <f t="shared" si="6"/>
        <v>1573</v>
      </c>
      <c r="R62" s="245"/>
      <c r="S62" s="293">
        <v>100</v>
      </c>
    </row>
    <row r="63" spans="1:19" s="248" customFormat="1" ht="13.5" customHeight="1">
      <c r="A63" s="360">
        <v>49</v>
      </c>
      <c r="B63" s="78"/>
      <c r="C63" s="245"/>
      <c r="D63" s="262"/>
      <c r="E63" s="124" t="s">
        <v>473</v>
      </c>
      <c r="F63" s="125">
        <f>3.1242+0.5803+2.5</f>
        <v>6.2045</v>
      </c>
      <c r="G63" s="124">
        <v>28</v>
      </c>
      <c r="H63" s="126">
        <v>3625</v>
      </c>
      <c r="I63" s="125">
        <v>32.7164</v>
      </c>
      <c r="J63" s="124">
        <v>28</v>
      </c>
      <c r="K63" s="127">
        <f>2664-28</f>
        <v>2636</v>
      </c>
      <c r="L63" s="127">
        <f>1066990/3</f>
        <v>355663.3333333333</v>
      </c>
      <c r="M63" s="127">
        <f>1022168/3-N63</f>
        <v>331922.6666666667</v>
      </c>
      <c r="N63" s="127">
        <f>4899+1086+1019+1796</f>
        <v>8800</v>
      </c>
      <c r="O63" s="128">
        <f t="shared" si="5"/>
        <v>4.200789135793202</v>
      </c>
      <c r="P63" s="62">
        <v>2664</v>
      </c>
      <c r="Q63" s="194">
        <f t="shared" si="6"/>
        <v>2664</v>
      </c>
      <c r="R63" s="245"/>
      <c r="S63" s="293">
        <v>100</v>
      </c>
    </row>
    <row r="64" spans="1:19" s="248" customFormat="1" ht="13.5" customHeight="1">
      <c r="A64" s="360">
        <v>50</v>
      </c>
      <c r="B64" s="78"/>
      <c r="C64" s="245"/>
      <c r="D64" s="262"/>
      <c r="E64" s="124" t="s">
        <v>474</v>
      </c>
      <c r="F64" s="125">
        <f>9.5007+8.136+3</f>
        <v>20.636699999999998</v>
      </c>
      <c r="G64" s="124">
        <v>29</v>
      </c>
      <c r="H64" s="126">
        <v>8772.5</v>
      </c>
      <c r="I64" s="125">
        <v>20.5653</v>
      </c>
      <c r="J64" s="124">
        <v>25</v>
      </c>
      <c r="K64" s="127">
        <v>1633</v>
      </c>
      <c r="L64" s="127">
        <f>841315/3</f>
        <v>280438.3333333333</v>
      </c>
      <c r="M64" s="127">
        <f>798298/3-N64</f>
        <v>263496.3333333333</v>
      </c>
      <c r="N64" s="127">
        <f>2375+228</f>
        <v>2603</v>
      </c>
      <c r="O64" s="128">
        <f>(L64-M64-N64)*100/L64</f>
        <v>5.113067043853967</v>
      </c>
      <c r="P64" s="62">
        <v>1658</v>
      </c>
      <c r="Q64" s="194">
        <f t="shared" si="6"/>
        <v>1658</v>
      </c>
      <c r="R64" s="245"/>
      <c r="S64" s="293">
        <v>100</v>
      </c>
    </row>
    <row r="65" spans="1:19" s="248" customFormat="1" ht="13.5" customHeight="1">
      <c r="A65" s="346">
        <v>51</v>
      </c>
      <c r="B65" s="271"/>
      <c r="C65" s="272"/>
      <c r="D65" s="346"/>
      <c r="E65" s="230" t="s">
        <v>475</v>
      </c>
      <c r="F65" s="306">
        <f>3.3+2.809</f>
        <v>6.109</v>
      </c>
      <c r="G65" s="230">
        <v>21</v>
      </c>
      <c r="H65" s="307">
        <v>2330</v>
      </c>
      <c r="I65" s="306">
        <v>7.5274</v>
      </c>
      <c r="J65" s="230">
        <v>10</v>
      </c>
      <c r="K65" s="308">
        <v>562</v>
      </c>
      <c r="L65" s="308">
        <f>319360/3</f>
        <v>106453.33333333333</v>
      </c>
      <c r="M65" s="308">
        <f>301129/3-N65</f>
        <v>89762.33333333333</v>
      </c>
      <c r="N65" s="308">
        <f>2564+8050</f>
        <v>10614</v>
      </c>
      <c r="O65" s="309">
        <f>(L65-M65-N65)*100/L65</f>
        <v>5.708604709418838</v>
      </c>
      <c r="P65" s="279">
        <v>750</v>
      </c>
      <c r="Q65" s="280">
        <f t="shared" si="6"/>
        <v>750</v>
      </c>
      <c r="R65" s="272"/>
      <c r="S65" s="296">
        <v>65.10416666666666</v>
      </c>
    </row>
    <row r="66" spans="1:19" s="248" customFormat="1" ht="13.5" customHeight="1">
      <c r="A66" s="361">
        <v>52</v>
      </c>
      <c r="B66" s="518" t="s">
        <v>57</v>
      </c>
      <c r="C66" s="534">
        <v>13</v>
      </c>
      <c r="D66" s="534">
        <v>6</v>
      </c>
      <c r="E66" s="266" t="s">
        <v>478</v>
      </c>
      <c r="F66" s="263">
        <v>11.339</v>
      </c>
      <c r="G66" s="265">
        <v>13</v>
      </c>
      <c r="H66" s="311">
        <v>1182.5</v>
      </c>
      <c r="I66" s="265">
        <v>21.849</v>
      </c>
      <c r="J66" s="264">
        <v>8</v>
      </c>
      <c r="K66" s="288">
        <v>1974</v>
      </c>
      <c r="L66" s="290">
        <v>365015.7216039569</v>
      </c>
      <c r="M66" s="288">
        <v>298161.3333333333</v>
      </c>
      <c r="N66" s="290">
        <v>46231</v>
      </c>
      <c r="O66" s="312">
        <v>5.65</v>
      </c>
      <c r="P66" s="336">
        <v>1982</v>
      </c>
      <c r="Q66" s="288">
        <f aca="true" t="shared" si="7" ref="Q66:Q73">P66</f>
        <v>1982</v>
      </c>
      <c r="R66" s="264"/>
      <c r="S66" s="302">
        <v>99.59798994974875</v>
      </c>
    </row>
    <row r="67" spans="1:19" s="248" customFormat="1" ht="13.5" customHeight="1">
      <c r="A67" s="360">
        <v>53</v>
      </c>
      <c r="B67" s="518"/>
      <c r="C67" s="523"/>
      <c r="D67" s="523"/>
      <c r="E67" s="298" t="s">
        <v>480</v>
      </c>
      <c r="F67" s="244">
        <v>5.755</v>
      </c>
      <c r="G67" s="78">
        <v>13</v>
      </c>
      <c r="H67" s="301">
        <v>1642.5</v>
      </c>
      <c r="I67" s="78">
        <v>7.385</v>
      </c>
      <c r="J67" s="245">
        <v>4</v>
      </c>
      <c r="K67" s="194">
        <v>1481</v>
      </c>
      <c r="L67" s="291">
        <v>259075.73993720676</v>
      </c>
      <c r="M67" s="194">
        <v>205142.66666666666</v>
      </c>
      <c r="N67" s="291">
        <v>39658</v>
      </c>
      <c r="O67" s="313">
        <v>5.51</v>
      </c>
      <c r="P67" s="62">
        <v>1485</v>
      </c>
      <c r="Q67" s="194">
        <f t="shared" si="7"/>
        <v>1485</v>
      </c>
      <c r="R67" s="245"/>
      <c r="S67" s="293">
        <v>100</v>
      </c>
    </row>
    <row r="68" spans="1:19" s="248" customFormat="1" ht="13.5" customHeight="1">
      <c r="A68" s="360">
        <v>54</v>
      </c>
      <c r="B68" s="516"/>
      <c r="C68" s="524"/>
      <c r="D68" s="524"/>
      <c r="E68" s="115" t="s">
        <v>482</v>
      </c>
      <c r="F68" s="244">
        <v>13.769</v>
      </c>
      <c r="G68" s="78">
        <v>18</v>
      </c>
      <c r="H68" s="291">
        <v>2690</v>
      </c>
      <c r="I68" s="78">
        <v>32.174</v>
      </c>
      <c r="J68" s="245">
        <v>11</v>
      </c>
      <c r="K68" s="194">
        <v>2532</v>
      </c>
      <c r="L68" s="291">
        <v>547934.530095037</v>
      </c>
      <c r="M68" s="194">
        <v>436752</v>
      </c>
      <c r="N68" s="291">
        <v>82142</v>
      </c>
      <c r="O68" s="313">
        <v>5.3</v>
      </c>
      <c r="P68" s="62">
        <v>2543</v>
      </c>
      <c r="Q68" s="194">
        <f t="shared" si="7"/>
        <v>2543</v>
      </c>
      <c r="R68" s="245"/>
      <c r="S68" s="79">
        <v>99.45248337895973</v>
      </c>
    </row>
    <row r="69" spans="1:19" s="248" customFormat="1" ht="13.5" customHeight="1">
      <c r="A69" s="360">
        <v>55</v>
      </c>
      <c r="B69" s="348"/>
      <c r="C69" s="349"/>
      <c r="D69" s="262"/>
      <c r="E69" s="115" t="s">
        <v>483</v>
      </c>
      <c r="F69" s="244">
        <v>25.67</v>
      </c>
      <c r="G69" s="78">
        <v>21</v>
      </c>
      <c r="H69" s="291">
        <v>1200</v>
      </c>
      <c r="I69" s="78">
        <v>18.762</v>
      </c>
      <c r="J69" s="245">
        <v>5</v>
      </c>
      <c r="K69" s="194">
        <v>1944</v>
      </c>
      <c r="L69" s="291">
        <v>251323.84966631545</v>
      </c>
      <c r="M69" s="194">
        <v>199541.33333333334</v>
      </c>
      <c r="N69" s="291">
        <v>38965</v>
      </c>
      <c r="O69" s="313">
        <v>5.100000000000008</v>
      </c>
      <c r="P69" s="62">
        <v>1949</v>
      </c>
      <c r="Q69" s="194">
        <f t="shared" si="7"/>
        <v>1949</v>
      </c>
      <c r="R69" s="245"/>
      <c r="S69" s="293">
        <v>100</v>
      </c>
    </row>
    <row r="70" spans="1:19" s="248" customFormat="1" ht="13.5" customHeight="1">
      <c r="A70" s="360">
        <v>56</v>
      </c>
      <c r="B70" s="348"/>
      <c r="C70" s="349"/>
      <c r="D70" s="262"/>
      <c r="E70" s="136" t="s">
        <v>484</v>
      </c>
      <c r="F70" s="244">
        <v>31.9798</v>
      </c>
      <c r="G70" s="78">
        <v>50</v>
      </c>
      <c r="H70" s="291">
        <v>3820</v>
      </c>
      <c r="I70" s="78">
        <v>56.324</v>
      </c>
      <c r="J70" s="245">
        <v>41</v>
      </c>
      <c r="K70" s="194">
        <v>2734</v>
      </c>
      <c r="L70" s="291">
        <v>596150</v>
      </c>
      <c r="M70" s="194">
        <v>471561</v>
      </c>
      <c r="N70" s="291">
        <v>97763</v>
      </c>
      <c r="O70" s="313">
        <v>4.5</v>
      </c>
      <c r="P70" s="62">
        <v>3100</v>
      </c>
      <c r="Q70" s="194">
        <f t="shared" si="7"/>
        <v>3100</v>
      </c>
      <c r="R70" s="245"/>
      <c r="S70" s="79">
        <v>99.61439588688947</v>
      </c>
    </row>
    <row r="71" spans="1:19" s="248" customFormat="1" ht="13.5" customHeight="1">
      <c r="A71" s="346">
        <v>57</v>
      </c>
      <c r="B71" s="369"/>
      <c r="C71" s="370"/>
      <c r="D71" s="346"/>
      <c r="E71" s="315" t="s">
        <v>485</v>
      </c>
      <c r="F71" s="270">
        <v>21.2247</v>
      </c>
      <c r="G71" s="271">
        <v>25</v>
      </c>
      <c r="H71" s="316">
        <v>2317.5</v>
      </c>
      <c r="I71" s="271">
        <v>28.57</v>
      </c>
      <c r="J71" s="272">
        <v>13</v>
      </c>
      <c r="K71" s="280">
        <v>1784</v>
      </c>
      <c r="L71" s="292">
        <v>415495</v>
      </c>
      <c r="M71" s="280">
        <v>300808</v>
      </c>
      <c r="N71" s="292">
        <v>99231</v>
      </c>
      <c r="O71" s="371" t="s">
        <v>242</v>
      </c>
      <c r="P71" s="279">
        <v>2124</v>
      </c>
      <c r="Q71" s="280">
        <f t="shared" si="7"/>
        <v>2124</v>
      </c>
      <c r="R71" s="272"/>
      <c r="S71" s="296">
        <v>99.06716417910447</v>
      </c>
    </row>
    <row r="72" spans="1:19" s="248" customFormat="1" ht="13.5" customHeight="1">
      <c r="A72" s="361">
        <v>58</v>
      </c>
      <c r="B72" s="518" t="s">
        <v>71</v>
      </c>
      <c r="C72" s="534">
        <v>14</v>
      </c>
      <c r="D72" s="534">
        <v>14</v>
      </c>
      <c r="E72" s="362" t="s">
        <v>490</v>
      </c>
      <c r="F72" s="363">
        <v>46.1128</v>
      </c>
      <c r="G72" s="364">
        <v>52</v>
      </c>
      <c r="H72" s="365">
        <v>4910</v>
      </c>
      <c r="I72" s="363">
        <v>44.114</v>
      </c>
      <c r="J72" s="366">
        <v>38</v>
      </c>
      <c r="K72" s="366">
        <f>3087+600</f>
        <v>3687</v>
      </c>
      <c r="L72" s="367">
        <v>804386</v>
      </c>
      <c r="M72" s="366">
        <v>496748</v>
      </c>
      <c r="N72" s="366">
        <v>255756</v>
      </c>
      <c r="O72" s="368" t="s">
        <v>237</v>
      </c>
      <c r="P72" s="336">
        <v>3565</v>
      </c>
      <c r="Q72" s="288">
        <f t="shared" si="7"/>
        <v>3565</v>
      </c>
      <c r="R72" s="264"/>
      <c r="S72" s="302">
        <v>93.17825405122844</v>
      </c>
    </row>
    <row r="73" spans="1:19" s="248" customFormat="1" ht="13.5" customHeight="1">
      <c r="A73" s="360">
        <v>59</v>
      </c>
      <c r="B73" s="518"/>
      <c r="C73" s="523"/>
      <c r="D73" s="523"/>
      <c r="E73" s="147" t="s">
        <v>491</v>
      </c>
      <c r="F73" s="137">
        <v>28.858</v>
      </c>
      <c r="G73" s="138">
        <v>33</v>
      </c>
      <c r="H73" s="139">
        <v>2862.5</v>
      </c>
      <c r="I73" s="137">
        <v>35.012</v>
      </c>
      <c r="J73" s="140">
        <v>21</v>
      </c>
      <c r="K73" s="140">
        <f>1893-200</f>
        <v>1693</v>
      </c>
      <c r="L73" s="141">
        <v>552435</v>
      </c>
      <c r="M73" s="140">
        <v>278690</v>
      </c>
      <c r="N73" s="140">
        <v>234136</v>
      </c>
      <c r="O73" s="142">
        <v>7.17</v>
      </c>
      <c r="P73" s="62">
        <v>1766</v>
      </c>
      <c r="Q73" s="194">
        <f t="shared" si="7"/>
        <v>1766</v>
      </c>
      <c r="R73" s="245"/>
      <c r="S73" s="79">
        <v>92.60618772941794</v>
      </c>
    </row>
    <row r="74" spans="1:19" s="248" customFormat="1" ht="13.5" customHeight="1">
      <c r="A74" s="360">
        <v>60</v>
      </c>
      <c r="B74" s="516"/>
      <c r="C74" s="524"/>
      <c r="D74" s="524"/>
      <c r="E74" s="318" t="s">
        <v>492</v>
      </c>
      <c r="F74" s="137">
        <v>24.8378</v>
      </c>
      <c r="G74" s="138">
        <v>37</v>
      </c>
      <c r="H74" s="139">
        <v>4465</v>
      </c>
      <c r="I74" s="137">
        <v>22.697</v>
      </c>
      <c r="J74" s="140">
        <v>28</v>
      </c>
      <c r="K74" s="140">
        <v>1616</v>
      </c>
      <c r="L74" s="141">
        <v>755238</v>
      </c>
      <c r="M74" s="140">
        <v>206518</v>
      </c>
      <c r="N74" s="140">
        <v>499328</v>
      </c>
      <c r="O74" s="142">
        <v>6.54</v>
      </c>
      <c r="P74" s="62">
        <v>2043</v>
      </c>
      <c r="Q74" s="194">
        <f aca="true" t="shared" si="8" ref="Q74:Q85">P74</f>
        <v>2043</v>
      </c>
      <c r="R74" s="245"/>
      <c r="S74" s="79">
        <v>99.27113702623906</v>
      </c>
    </row>
    <row r="75" spans="1:19" s="248" customFormat="1" ht="13.5" customHeight="1">
      <c r="A75" s="360">
        <v>61</v>
      </c>
      <c r="B75" s="78"/>
      <c r="C75" s="245"/>
      <c r="D75" s="347"/>
      <c r="E75" s="147" t="s">
        <v>493</v>
      </c>
      <c r="F75" s="137">
        <v>26.7327</v>
      </c>
      <c r="G75" s="138">
        <v>43</v>
      </c>
      <c r="H75" s="139">
        <v>3670</v>
      </c>
      <c r="I75" s="137">
        <v>44.296</v>
      </c>
      <c r="J75" s="140">
        <v>21</v>
      </c>
      <c r="K75" s="140">
        <v>3774</v>
      </c>
      <c r="L75" s="141">
        <v>633639</v>
      </c>
      <c r="M75" s="140">
        <v>488035</v>
      </c>
      <c r="N75" s="140">
        <v>115317</v>
      </c>
      <c r="O75" s="142" t="s">
        <v>236</v>
      </c>
      <c r="P75" s="62">
        <v>3802</v>
      </c>
      <c r="Q75" s="194">
        <f t="shared" si="8"/>
        <v>3802</v>
      </c>
      <c r="R75" s="245"/>
      <c r="S75" s="79">
        <v>99.63312368972747</v>
      </c>
    </row>
    <row r="76" spans="1:19" s="248" customFormat="1" ht="13.5" customHeight="1">
      <c r="A76" s="360">
        <v>62</v>
      </c>
      <c r="B76" s="78"/>
      <c r="C76" s="245"/>
      <c r="D76" s="347"/>
      <c r="E76" s="318" t="s">
        <v>494</v>
      </c>
      <c r="F76" s="137">
        <v>31.9056</v>
      </c>
      <c r="G76" s="138">
        <v>52</v>
      </c>
      <c r="H76" s="139">
        <v>6555</v>
      </c>
      <c r="I76" s="137">
        <v>44.771</v>
      </c>
      <c r="J76" s="140">
        <v>21</v>
      </c>
      <c r="K76" s="140">
        <v>3618</v>
      </c>
      <c r="L76" s="141">
        <v>656034</v>
      </c>
      <c r="M76" s="140">
        <v>481909</v>
      </c>
      <c r="N76" s="140">
        <v>121971</v>
      </c>
      <c r="O76" s="142" t="s">
        <v>235</v>
      </c>
      <c r="P76" s="62">
        <v>3802</v>
      </c>
      <c r="Q76" s="194">
        <f t="shared" si="8"/>
        <v>3802</v>
      </c>
      <c r="R76" s="245"/>
      <c r="S76" s="79">
        <v>99.13950456323337</v>
      </c>
    </row>
    <row r="77" spans="1:19" s="248" customFormat="1" ht="13.5" customHeight="1">
      <c r="A77" s="360">
        <v>63</v>
      </c>
      <c r="B77" s="78"/>
      <c r="C77" s="245"/>
      <c r="D77" s="347"/>
      <c r="E77" s="147" t="s">
        <v>495</v>
      </c>
      <c r="F77" s="137">
        <v>22.0266</v>
      </c>
      <c r="G77" s="138">
        <v>39</v>
      </c>
      <c r="H77" s="139">
        <v>7380</v>
      </c>
      <c r="I77" s="137">
        <v>22.717</v>
      </c>
      <c r="J77" s="140">
        <v>32</v>
      </c>
      <c r="K77" s="140">
        <v>2357</v>
      </c>
      <c r="L77" s="141">
        <v>994400</v>
      </c>
      <c r="M77" s="140">
        <v>283431</v>
      </c>
      <c r="N77" s="140">
        <v>648720</v>
      </c>
      <c r="O77" s="142">
        <v>6.26</v>
      </c>
      <c r="P77" s="62">
        <v>2494</v>
      </c>
      <c r="Q77" s="194">
        <f t="shared" si="8"/>
        <v>2494</v>
      </c>
      <c r="R77" s="245"/>
      <c r="S77" s="79">
        <v>97.91912053396152</v>
      </c>
    </row>
    <row r="78" spans="1:19" s="248" customFormat="1" ht="13.5" customHeight="1">
      <c r="A78" s="360">
        <v>64</v>
      </c>
      <c r="B78" s="78"/>
      <c r="C78" s="245"/>
      <c r="D78" s="347"/>
      <c r="E78" s="319" t="s">
        <v>496</v>
      </c>
      <c r="F78" s="137">
        <v>33.7389</v>
      </c>
      <c r="G78" s="138">
        <v>55</v>
      </c>
      <c r="H78" s="139">
        <v>10945</v>
      </c>
      <c r="I78" s="137">
        <v>45.027</v>
      </c>
      <c r="J78" s="140">
        <v>61</v>
      </c>
      <c r="K78" s="140">
        <v>4744</v>
      </c>
      <c r="L78" s="141">
        <v>1333099</v>
      </c>
      <c r="M78" s="140">
        <v>521741</v>
      </c>
      <c r="N78" s="140">
        <v>718841</v>
      </c>
      <c r="O78" s="142">
        <v>6.94</v>
      </c>
      <c r="P78" s="62">
        <v>4826</v>
      </c>
      <c r="Q78" s="194">
        <f t="shared" si="8"/>
        <v>4826</v>
      </c>
      <c r="R78" s="245"/>
      <c r="S78" s="79">
        <v>99.7107438016529</v>
      </c>
    </row>
    <row r="79" spans="1:19" s="248" customFormat="1" ht="13.5" customHeight="1">
      <c r="A79" s="360">
        <v>65</v>
      </c>
      <c r="B79" s="78"/>
      <c r="C79" s="245"/>
      <c r="D79" s="347"/>
      <c r="E79" s="147" t="s">
        <v>497</v>
      </c>
      <c r="F79" s="137">
        <v>57.7807</v>
      </c>
      <c r="G79" s="138">
        <v>85</v>
      </c>
      <c r="H79" s="139">
        <v>15257.5</v>
      </c>
      <c r="I79" s="137">
        <v>63.5</v>
      </c>
      <c r="J79" s="140">
        <v>80</v>
      </c>
      <c r="K79" s="140">
        <v>5355</v>
      </c>
      <c r="L79" s="141">
        <v>3357248</v>
      </c>
      <c r="M79" s="140">
        <v>738724</v>
      </c>
      <c r="N79" s="140">
        <v>2424811</v>
      </c>
      <c r="O79" s="142">
        <v>5.77</v>
      </c>
      <c r="P79" s="62">
        <v>5392</v>
      </c>
      <c r="Q79" s="194">
        <f t="shared" si="8"/>
        <v>5392</v>
      </c>
      <c r="R79" s="245"/>
      <c r="S79" s="79">
        <v>99.02662993572085</v>
      </c>
    </row>
    <row r="80" spans="1:19" s="248" customFormat="1" ht="13.5" customHeight="1">
      <c r="A80" s="360">
        <v>66</v>
      </c>
      <c r="B80" s="78"/>
      <c r="C80" s="245"/>
      <c r="D80" s="347"/>
      <c r="E80" s="147" t="s">
        <v>498</v>
      </c>
      <c r="F80" s="137">
        <v>9.6058</v>
      </c>
      <c r="G80" s="138">
        <v>32</v>
      </c>
      <c r="H80" s="139">
        <v>3157.5</v>
      </c>
      <c r="I80" s="137">
        <v>20.019</v>
      </c>
      <c r="J80" s="140">
        <v>40</v>
      </c>
      <c r="K80" s="140">
        <v>2676</v>
      </c>
      <c r="L80" s="141">
        <v>533289</v>
      </c>
      <c r="M80" s="140">
        <v>350827</v>
      </c>
      <c r="N80" s="140">
        <v>144567</v>
      </c>
      <c r="O80" s="142">
        <v>7.106</v>
      </c>
      <c r="P80" s="62">
        <v>2720</v>
      </c>
      <c r="Q80" s="194">
        <f t="shared" si="8"/>
        <v>2720</v>
      </c>
      <c r="R80" s="245"/>
      <c r="S80" s="79">
        <v>99.70674486803519</v>
      </c>
    </row>
    <row r="81" spans="1:19" s="248" customFormat="1" ht="13.5" customHeight="1">
      <c r="A81" s="360">
        <v>67</v>
      </c>
      <c r="B81" s="78"/>
      <c r="C81" s="245"/>
      <c r="D81" s="347"/>
      <c r="E81" s="147" t="s">
        <v>499</v>
      </c>
      <c r="F81" s="137">
        <v>15.1634</v>
      </c>
      <c r="G81" s="138">
        <v>27</v>
      </c>
      <c r="H81" s="139">
        <v>3425</v>
      </c>
      <c r="I81" s="137">
        <v>33.026</v>
      </c>
      <c r="J81" s="140">
        <v>48</v>
      </c>
      <c r="K81" s="140">
        <f>3251-200</f>
        <v>3051</v>
      </c>
      <c r="L81" s="141">
        <v>582025</v>
      </c>
      <c r="M81" s="140">
        <v>478654</v>
      </c>
      <c r="N81" s="140">
        <v>70545</v>
      </c>
      <c r="O81" s="142">
        <v>5.64</v>
      </c>
      <c r="P81" s="62">
        <v>3087</v>
      </c>
      <c r="Q81" s="194">
        <f t="shared" si="8"/>
        <v>3087</v>
      </c>
      <c r="R81" s="245"/>
      <c r="S81" s="79">
        <v>98.9740301378647</v>
      </c>
    </row>
    <row r="82" spans="1:19" s="248" customFormat="1" ht="13.5" customHeight="1">
      <c r="A82" s="360">
        <v>68</v>
      </c>
      <c r="B82" s="78"/>
      <c r="C82" s="245"/>
      <c r="D82" s="347"/>
      <c r="E82" s="147" t="s">
        <v>500</v>
      </c>
      <c r="F82" s="137">
        <v>21.1963</v>
      </c>
      <c r="G82" s="138">
        <v>44</v>
      </c>
      <c r="H82" s="139">
        <v>5077.5</v>
      </c>
      <c r="I82" s="137">
        <v>38.392</v>
      </c>
      <c r="J82" s="140">
        <v>62</v>
      </c>
      <c r="K82" s="140">
        <v>3123</v>
      </c>
      <c r="L82" s="141">
        <v>606006</v>
      </c>
      <c r="M82" s="140">
        <v>402025</v>
      </c>
      <c r="N82" s="140">
        <v>160955</v>
      </c>
      <c r="O82" s="142">
        <v>7.1</v>
      </c>
      <c r="P82" s="62">
        <v>3219</v>
      </c>
      <c r="Q82" s="194">
        <f t="shared" si="8"/>
        <v>3219</v>
      </c>
      <c r="R82" s="245"/>
      <c r="S82" s="79">
        <v>99.13766553741915</v>
      </c>
    </row>
    <row r="83" spans="1:19" s="248" customFormat="1" ht="13.5" customHeight="1">
      <c r="A83" s="360">
        <v>69</v>
      </c>
      <c r="B83" s="78"/>
      <c r="C83" s="245"/>
      <c r="D83" s="347"/>
      <c r="E83" s="147" t="s">
        <v>501</v>
      </c>
      <c r="F83" s="137">
        <v>16.3292</v>
      </c>
      <c r="G83" s="138">
        <v>37</v>
      </c>
      <c r="H83" s="139">
        <v>4982.5</v>
      </c>
      <c r="I83" s="137">
        <v>41.926</v>
      </c>
      <c r="J83" s="140">
        <v>265</v>
      </c>
      <c r="K83" s="140">
        <f>2059-400</f>
        <v>1659</v>
      </c>
      <c r="L83" s="141">
        <v>484565</v>
      </c>
      <c r="M83" s="140">
        <v>307878</v>
      </c>
      <c r="N83" s="140">
        <v>149116</v>
      </c>
      <c r="O83" s="142" t="s">
        <v>239</v>
      </c>
      <c r="P83" s="62">
        <v>1745</v>
      </c>
      <c r="Q83" s="194">
        <f t="shared" si="8"/>
        <v>1745</v>
      </c>
      <c r="R83" s="245"/>
      <c r="S83" s="79">
        <v>99.94272623138602</v>
      </c>
    </row>
    <row r="84" spans="1:19" s="248" customFormat="1" ht="13.5" customHeight="1">
      <c r="A84" s="360">
        <v>70</v>
      </c>
      <c r="B84" s="78"/>
      <c r="C84" s="245"/>
      <c r="D84" s="347"/>
      <c r="E84" s="147" t="s">
        <v>502</v>
      </c>
      <c r="F84" s="137">
        <v>19.085</v>
      </c>
      <c r="G84" s="138">
        <v>39</v>
      </c>
      <c r="H84" s="139">
        <v>3805</v>
      </c>
      <c r="I84" s="137">
        <v>41.12</v>
      </c>
      <c r="J84" s="140">
        <v>99</v>
      </c>
      <c r="K84" s="140">
        <f>2991-600</f>
        <v>2391</v>
      </c>
      <c r="L84" s="141">
        <v>697587</v>
      </c>
      <c r="M84" s="140">
        <v>492111</v>
      </c>
      <c r="N84" s="140">
        <v>155390</v>
      </c>
      <c r="O84" s="142" t="s">
        <v>238</v>
      </c>
      <c r="P84" s="62">
        <v>2414</v>
      </c>
      <c r="Q84" s="194">
        <f t="shared" si="8"/>
        <v>2414</v>
      </c>
      <c r="R84" s="245"/>
      <c r="S84" s="79">
        <v>99.62855963681386</v>
      </c>
    </row>
    <row r="85" spans="1:19" s="248" customFormat="1" ht="13.5" customHeight="1">
      <c r="A85" s="346">
        <v>71</v>
      </c>
      <c r="B85" s="271"/>
      <c r="C85" s="272"/>
      <c r="D85" s="346"/>
      <c r="E85" s="320" t="s">
        <v>503</v>
      </c>
      <c r="F85" s="321">
        <v>18.8854</v>
      </c>
      <c r="G85" s="322">
        <v>22</v>
      </c>
      <c r="H85" s="323">
        <v>1860</v>
      </c>
      <c r="I85" s="321">
        <v>20.354</v>
      </c>
      <c r="J85" s="324">
        <v>25</v>
      </c>
      <c r="K85" s="324">
        <v>1552</v>
      </c>
      <c r="L85" s="325">
        <v>307898</v>
      </c>
      <c r="M85" s="324">
        <v>238893</v>
      </c>
      <c r="N85" s="324">
        <v>46498</v>
      </c>
      <c r="O85" s="326" t="s">
        <v>234</v>
      </c>
      <c r="P85" s="279">
        <v>1603</v>
      </c>
      <c r="Q85" s="280">
        <f t="shared" si="8"/>
        <v>1603</v>
      </c>
      <c r="R85" s="272"/>
      <c r="S85" s="296">
        <v>99.07292954264524</v>
      </c>
    </row>
    <row r="86" spans="1:19" s="248" customFormat="1" ht="13.5" customHeight="1">
      <c r="A86" s="361">
        <v>72</v>
      </c>
      <c r="B86" s="531" t="s">
        <v>86</v>
      </c>
      <c r="C86" s="534">
        <v>17</v>
      </c>
      <c r="D86" s="534">
        <v>9</v>
      </c>
      <c r="E86" s="115" t="s">
        <v>505</v>
      </c>
      <c r="F86" s="186">
        <v>18.715</v>
      </c>
      <c r="G86" s="62">
        <v>21</v>
      </c>
      <c r="H86" s="187">
        <v>1025</v>
      </c>
      <c r="I86" s="186">
        <v>28.06</v>
      </c>
      <c r="J86" s="62">
        <v>6</v>
      </c>
      <c r="K86" s="62">
        <v>1521</v>
      </c>
      <c r="L86" s="62">
        <v>836321</v>
      </c>
      <c r="M86" s="62">
        <v>704681</v>
      </c>
      <c r="N86" s="62">
        <v>77439</v>
      </c>
      <c r="O86" s="188">
        <f aca="true" t="shared" si="9" ref="O86:O96">ROUND((L86-M86-N86)/L86*100,2)</f>
        <v>6.48</v>
      </c>
      <c r="P86" s="62">
        <v>1365</v>
      </c>
      <c r="Q86" s="372">
        <f>P86</f>
        <v>1365</v>
      </c>
      <c r="R86" s="373"/>
      <c r="S86" s="374">
        <v>100</v>
      </c>
    </row>
    <row r="87" spans="1:19" s="248" customFormat="1" ht="13.5" customHeight="1">
      <c r="A87" s="360">
        <v>73</v>
      </c>
      <c r="B87" s="521"/>
      <c r="C87" s="523"/>
      <c r="D87" s="523"/>
      <c r="E87" s="115" t="s">
        <v>509</v>
      </c>
      <c r="F87" s="186">
        <v>19.885</v>
      </c>
      <c r="G87" s="62">
        <v>25</v>
      </c>
      <c r="H87" s="187">
        <v>1787.5</v>
      </c>
      <c r="I87" s="186">
        <v>26.521</v>
      </c>
      <c r="J87" s="62">
        <v>4</v>
      </c>
      <c r="K87" s="62">
        <v>1564</v>
      </c>
      <c r="L87" s="62">
        <v>1344866</v>
      </c>
      <c r="M87" s="62">
        <v>1073760</v>
      </c>
      <c r="N87" s="62">
        <v>178273</v>
      </c>
      <c r="O87" s="188">
        <f>ROUND((L87-M87-N87)/L87*100,2)</f>
        <v>6.9</v>
      </c>
      <c r="P87" s="62">
        <v>1672</v>
      </c>
      <c r="Q87" s="194">
        <f aca="true" t="shared" si="10" ref="Q87:Q98">P87</f>
        <v>1672</v>
      </c>
      <c r="R87" s="245"/>
      <c r="S87" s="79">
        <v>99.5830851697439</v>
      </c>
    </row>
    <row r="88" spans="1:19" s="248" customFormat="1" ht="13.5" customHeight="1">
      <c r="A88" s="360">
        <v>74</v>
      </c>
      <c r="B88" s="521"/>
      <c r="C88" s="523"/>
      <c r="D88" s="523"/>
      <c r="E88" s="115" t="s">
        <v>511</v>
      </c>
      <c r="F88" s="186">
        <v>25.706</v>
      </c>
      <c r="G88" s="62">
        <v>27</v>
      </c>
      <c r="H88" s="187">
        <v>2162.5</v>
      </c>
      <c r="I88" s="186">
        <v>36.607</v>
      </c>
      <c r="J88" s="62">
        <v>19</v>
      </c>
      <c r="K88" s="62">
        <v>1832</v>
      </c>
      <c r="L88" s="62">
        <v>1683490</v>
      </c>
      <c r="M88" s="62">
        <v>1298815</v>
      </c>
      <c r="N88" s="62">
        <v>291443</v>
      </c>
      <c r="O88" s="188">
        <f>ROUND((L88-M88-N88)/L88*100,2)</f>
        <v>5.54</v>
      </c>
      <c r="P88" s="62">
        <v>2158</v>
      </c>
      <c r="Q88" s="194">
        <f t="shared" si="10"/>
        <v>2158</v>
      </c>
      <c r="R88" s="245"/>
      <c r="S88" s="79">
        <v>97.60289461781998</v>
      </c>
    </row>
    <row r="89" spans="1:19" s="248" customFormat="1" ht="13.5" customHeight="1">
      <c r="A89" s="360">
        <v>75</v>
      </c>
      <c r="B89" s="522"/>
      <c r="C89" s="523"/>
      <c r="D89" s="523"/>
      <c r="E89" s="115" t="s">
        <v>514</v>
      </c>
      <c r="F89" s="186">
        <v>12.955</v>
      </c>
      <c r="G89" s="62">
        <v>20</v>
      </c>
      <c r="H89" s="187">
        <v>2127.5</v>
      </c>
      <c r="I89" s="186">
        <v>12.373</v>
      </c>
      <c r="J89" s="62">
        <v>19</v>
      </c>
      <c r="K89" s="62">
        <v>1820</v>
      </c>
      <c r="L89" s="62">
        <v>1030420</v>
      </c>
      <c r="M89" s="62">
        <v>794807</v>
      </c>
      <c r="N89" s="62">
        <v>176953</v>
      </c>
      <c r="O89" s="188">
        <f t="shared" si="9"/>
        <v>5.69</v>
      </c>
      <c r="P89" s="62">
        <v>2850</v>
      </c>
      <c r="Q89" s="194">
        <f t="shared" si="10"/>
        <v>2850</v>
      </c>
      <c r="R89" s="245"/>
      <c r="S89" s="79">
        <v>98.00550206327372</v>
      </c>
    </row>
    <row r="90" spans="1:19" s="248" customFormat="1" ht="13.5" customHeight="1">
      <c r="A90" s="360">
        <v>76</v>
      </c>
      <c r="B90" s="348"/>
      <c r="C90" s="349"/>
      <c r="D90" s="262"/>
      <c r="E90" s="115" t="s">
        <v>516</v>
      </c>
      <c r="F90" s="186">
        <v>6.721</v>
      </c>
      <c r="G90" s="62">
        <v>15</v>
      </c>
      <c r="H90" s="187">
        <v>2715</v>
      </c>
      <c r="I90" s="186">
        <v>23.025</v>
      </c>
      <c r="J90" s="62">
        <v>40</v>
      </c>
      <c r="K90" s="62">
        <v>3174</v>
      </c>
      <c r="L90" s="62">
        <v>2139354</v>
      </c>
      <c r="M90" s="62">
        <v>1703034</v>
      </c>
      <c r="N90" s="62">
        <v>317747</v>
      </c>
      <c r="O90" s="188">
        <f t="shared" si="9"/>
        <v>5.54</v>
      </c>
      <c r="P90" s="62">
        <v>3243</v>
      </c>
      <c r="Q90" s="194">
        <f t="shared" si="10"/>
        <v>3243</v>
      </c>
      <c r="R90" s="245"/>
      <c r="S90" s="79">
        <v>99.6007371007371</v>
      </c>
    </row>
    <row r="91" spans="1:19" s="248" customFormat="1" ht="13.5" customHeight="1">
      <c r="A91" s="360">
        <v>77</v>
      </c>
      <c r="B91" s="348"/>
      <c r="C91" s="349"/>
      <c r="D91" s="262"/>
      <c r="E91" s="115" t="s">
        <v>517</v>
      </c>
      <c r="F91" s="186">
        <v>14.692</v>
      </c>
      <c r="G91" s="62">
        <v>20</v>
      </c>
      <c r="H91" s="187">
        <v>1700</v>
      </c>
      <c r="I91" s="186">
        <v>19.677</v>
      </c>
      <c r="J91" s="62">
        <v>9</v>
      </c>
      <c r="K91" s="62">
        <v>2199</v>
      </c>
      <c r="L91" s="62">
        <v>1433095</v>
      </c>
      <c r="M91" s="62">
        <v>1179699</v>
      </c>
      <c r="N91" s="62">
        <v>166266</v>
      </c>
      <c r="O91" s="188">
        <f t="shared" si="9"/>
        <v>6.08</v>
      </c>
      <c r="P91" s="62">
        <v>2635</v>
      </c>
      <c r="Q91" s="194">
        <f t="shared" si="10"/>
        <v>2635</v>
      </c>
      <c r="R91" s="245"/>
      <c r="S91" s="79">
        <v>99.84842743463433</v>
      </c>
    </row>
    <row r="92" spans="1:19" s="248" customFormat="1" ht="13.5" customHeight="1">
      <c r="A92" s="360">
        <v>78</v>
      </c>
      <c r="B92" s="348"/>
      <c r="C92" s="349"/>
      <c r="D92" s="262"/>
      <c r="E92" s="115" t="s">
        <v>518</v>
      </c>
      <c r="F92" s="186">
        <v>14.941</v>
      </c>
      <c r="G92" s="62">
        <v>16</v>
      </c>
      <c r="H92" s="187">
        <v>1312.5</v>
      </c>
      <c r="I92" s="186">
        <v>24.784</v>
      </c>
      <c r="J92" s="62">
        <v>31</v>
      </c>
      <c r="K92" s="62">
        <v>2696</v>
      </c>
      <c r="L92" s="62">
        <v>1364227</v>
      </c>
      <c r="M92" s="62">
        <v>1125225</v>
      </c>
      <c r="N92" s="62">
        <v>173993</v>
      </c>
      <c r="O92" s="188">
        <f t="shared" si="9"/>
        <v>4.77</v>
      </c>
      <c r="P92" s="62">
        <v>2876</v>
      </c>
      <c r="Q92" s="194">
        <f t="shared" si="10"/>
        <v>2876</v>
      </c>
      <c r="R92" s="245"/>
      <c r="S92" s="79">
        <v>99.13822819717339</v>
      </c>
    </row>
    <row r="93" spans="1:19" s="248" customFormat="1" ht="13.5" customHeight="1">
      <c r="A93" s="360">
        <v>79</v>
      </c>
      <c r="B93" s="348"/>
      <c r="C93" s="349"/>
      <c r="D93" s="262"/>
      <c r="E93" s="115" t="s">
        <v>519</v>
      </c>
      <c r="F93" s="186">
        <v>16.633</v>
      </c>
      <c r="G93" s="62">
        <v>19</v>
      </c>
      <c r="H93" s="187">
        <v>1462.5</v>
      </c>
      <c r="I93" s="186">
        <v>17.362</v>
      </c>
      <c r="J93" s="62">
        <v>3</v>
      </c>
      <c r="K93" s="62">
        <v>1132</v>
      </c>
      <c r="L93" s="62">
        <v>1379348</v>
      </c>
      <c r="M93" s="62">
        <v>957270</v>
      </c>
      <c r="N93" s="62">
        <v>348518</v>
      </c>
      <c r="O93" s="188">
        <f t="shared" si="9"/>
        <v>5.33</v>
      </c>
      <c r="P93" s="62">
        <v>1570</v>
      </c>
      <c r="Q93" s="194">
        <f t="shared" si="10"/>
        <v>1570</v>
      </c>
      <c r="R93" s="245"/>
      <c r="S93" s="79">
        <v>99.93634627625715</v>
      </c>
    </row>
    <row r="94" spans="1:19" s="248" customFormat="1" ht="13.5" customHeight="1">
      <c r="A94" s="346">
        <v>80</v>
      </c>
      <c r="B94" s="369"/>
      <c r="C94" s="375"/>
      <c r="D94" s="346"/>
      <c r="E94" s="282" t="s">
        <v>520</v>
      </c>
      <c r="F94" s="327">
        <v>10.237</v>
      </c>
      <c r="G94" s="279">
        <v>16</v>
      </c>
      <c r="H94" s="328">
        <v>1222.5</v>
      </c>
      <c r="I94" s="327">
        <v>12.335</v>
      </c>
      <c r="J94" s="279">
        <v>15</v>
      </c>
      <c r="K94" s="279">
        <v>1271</v>
      </c>
      <c r="L94" s="279">
        <v>1412973</v>
      </c>
      <c r="M94" s="279">
        <v>1257156</v>
      </c>
      <c r="N94" s="279">
        <v>109448</v>
      </c>
      <c r="O94" s="329">
        <f t="shared" si="9"/>
        <v>3.28</v>
      </c>
      <c r="P94" s="279">
        <v>1970</v>
      </c>
      <c r="Q94" s="280">
        <f t="shared" si="10"/>
        <v>1970</v>
      </c>
      <c r="R94" s="272"/>
      <c r="S94" s="296">
        <v>99.34442763489663</v>
      </c>
    </row>
    <row r="95" spans="1:19" s="248" customFormat="1" ht="13.5" customHeight="1">
      <c r="A95" s="361">
        <v>81</v>
      </c>
      <c r="B95" s="521" t="s">
        <v>104</v>
      </c>
      <c r="C95" s="534">
        <v>13</v>
      </c>
      <c r="D95" s="534">
        <v>4</v>
      </c>
      <c r="E95" s="115" t="s">
        <v>522</v>
      </c>
      <c r="F95" s="186">
        <v>18.599</v>
      </c>
      <c r="G95" s="62">
        <v>22</v>
      </c>
      <c r="H95" s="187">
        <v>2717.5</v>
      </c>
      <c r="I95" s="186">
        <v>37.444</v>
      </c>
      <c r="J95" s="62">
        <v>93</v>
      </c>
      <c r="K95" s="62">
        <v>2745</v>
      </c>
      <c r="L95" s="62">
        <v>1754397</v>
      </c>
      <c r="M95" s="62">
        <v>1358640</v>
      </c>
      <c r="N95" s="62">
        <v>330952</v>
      </c>
      <c r="O95" s="188">
        <f t="shared" si="9"/>
        <v>3.69</v>
      </c>
      <c r="P95" s="62">
        <v>2909</v>
      </c>
      <c r="Q95" s="194">
        <f t="shared" si="10"/>
        <v>2909</v>
      </c>
      <c r="R95" s="245"/>
      <c r="S95" s="79">
        <v>98.04516346477924</v>
      </c>
    </row>
    <row r="96" spans="1:19" s="248" customFormat="1" ht="13.5" customHeight="1">
      <c r="A96" s="360">
        <v>82</v>
      </c>
      <c r="B96" s="521"/>
      <c r="C96" s="523"/>
      <c r="D96" s="523"/>
      <c r="E96" s="115" t="s">
        <v>529</v>
      </c>
      <c r="F96" s="186">
        <v>11.924</v>
      </c>
      <c r="G96" s="62">
        <v>14</v>
      </c>
      <c r="H96" s="187">
        <v>1562.5</v>
      </c>
      <c r="I96" s="186">
        <v>27.683</v>
      </c>
      <c r="J96" s="62">
        <v>29</v>
      </c>
      <c r="K96" s="62">
        <v>3304</v>
      </c>
      <c r="L96" s="62">
        <v>3870691</v>
      </c>
      <c r="M96" s="62">
        <v>3190983</v>
      </c>
      <c r="N96" s="62">
        <v>481039</v>
      </c>
      <c r="O96" s="188">
        <f t="shared" si="9"/>
        <v>5.13</v>
      </c>
      <c r="P96" s="62">
        <v>3171</v>
      </c>
      <c r="Q96" s="194">
        <f t="shared" si="10"/>
        <v>3171</v>
      </c>
      <c r="R96" s="245"/>
      <c r="S96" s="79">
        <v>99.00093662191696</v>
      </c>
    </row>
    <row r="97" spans="1:19" s="248" customFormat="1" ht="13.5" customHeight="1">
      <c r="A97" s="360">
        <v>83</v>
      </c>
      <c r="B97" s="522"/>
      <c r="C97" s="524"/>
      <c r="D97" s="524"/>
      <c r="E97" s="115" t="s">
        <v>531</v>
      </c>
      <c r="F97" s="186">
        <v>18.871</v>
      </c>
      <c r="G97" s="62">
        <v>25</v>
      </c>
      <c r="H97" s="187">
        <v>3057.5</v>
      </c>
      <c r="I97" s="186">
        <v>44.875</v>
      </c>
      <c r="J97" s="62">
        <v>36</v>
      </c>
      <c r="K97" s="62">
        <v>2778</v>
      </c>
      <c r="L97" s="62">
        <v>3593088</v>
      </c>
      <c r="M97" s="62">
        <v>2753719</v>
      </c>
      <c r="N97" s="62">
        <v>747498</v>
      </c>
      <c r="O97" s="188">
        <f>ROUND((L97-M97-N97)/L97*100,2)</f>
        <v>2.56</v>
      </c>
      <c r="P97" s="62">
        <v>2950</v>
      </c>
      <c r="Q97" s="194">
        <f t="shared" si="10"/>
        <v>2950</v>
      </c>
      <c r="R97" s="245"/>
      <c r="S97" s="79">
        <v>97.13533091866974</v>
      </c>
    </row>
    <row r="98" spans="1:19" s="248" customFormat="1" ht="13.5" customHeight="1">
      <c r="A98" s="346">
        <v>84</v>
      </c>
      <c r="B98" s="369"/>
      <c r="C98" s="375"/>
      <c r="D98" s="346"/>
      <c r="E98" s="282" t="s">
        <v>532</v>
      </c>
      <c r="F98" s="327">
        <v>21.172</v>
      </c>
      <c r="G98" s="279">
        <v>30</v>
      </c>
      <c r="H98" s="328">
        <v>2975</v>
      </c>
      <c r="I98" s="327">
        <v>36.29</v>
      </c>
      <c r="J98" s="279">
        <v>25</v>
      </c>
      <c r="K98" s="279">
        <v>2336</v>
      </c>
      <c r="L98" s="279">
        <v>4780969</v>
      </c>
      <c r="M98" s="279">
        <v>3230926</v>
      </c>
      <c r="N98" s="279">
        <v>1406913</v>
      </c>
      <c r="O98" s="329">
        <f>ROUND((L98-M98-N98)/L98*100,2)</f>
        <v>2.99</v>
      </c>
      <c r="P98" s="279">
        <v>2901</v>
      </c>
      <c r="Q98" s="280">
        <f t="shared" si="10"/>
        <v>2901</v>
      </c>
      <c r="R98" s="272"/>
      <c r="S98" s="296">
        <v>97.8744939271255</v>
      </c>
    </row>
    <row r="99" spans="1:19" s="248" customFormat="1" ht="13.5" customHeight="1">
      <c r="A99" s="361">
        <v>85</v>
      </c>
      <c r="B99" s="521" t="s">
        <v>126</v>
      </c>
      <c r="C99" s="534">
        <v>14</v>
      </c>
      <c r="D99" s="534">
        <v>4</v>
      </c>
      <c r="E99" s="376" t="s">
        <v>533</v>
      </c>
      <c r="F99" s="377">
        <f>(4.2+2.3+2.8+4.3)*1.5</f>
        <v>20.400000000000002</v>
      </c>
      <c r="G99" s="378">
        <v>56</v>
      </c>
      <c r="H99" s="379">
        <v>5352.5</v>
      </c>
      <c r="I99" s="377">
        <v>54.78</v>
      </c>
      <c r="J99" s="378">
        <v>35</v>
      </c>
      <c r="K99" s="380">
        <v>4130</v>
      </c>
      <c r="L99" s="380">
        <v>930390</v>
      </c>
      <c r="M99" s="380">
        <v>754888</v>
      </c>
      <c r="N99" s="380">
        <v>124637</v>
      </c>
      <c r="O99" s="381">
        <v>5.47</v>
      </c>
      <c r="P99" s="336">
        <v>3936</v>
      </c>
      <c r="Q99" s="288">
        <f aca="true" t="shared" si="11" ref="Q99:Q104">P99</f>
        <v>3936</v>
      </c>
      <c r="R99" s="264"/>
      <c r="S99" s="302">
        <v>98.94419306184012</v>
      </c>
    </row>
    <row r="100" spans="1:19" s="248" customFormat="1" ht="13.5" customHeight="1">
      <c r="A100" s="360">
        <v>86</v>
      </c>
      <c r="B100" s="525"/>
      <c r="C100" s="523"/>
      <c r="D100" s="523"/>
      <c r="E100" s="151" t="s">
        <v>535</v>
      </c>
      <c r="F100" s="152">
        <f>+(16)*1.3</f>
        <v>20.8</v>
      </c>
      <c r="G100" s="153">
        <v>27</v>
      </c>
      <c r="H100" s="155">
        <v>2050</v>
      </c>
      <c r="I100" s="152">
        <v>26.3</v>
      </c>
      <c r="J100" s="153">
        <v>17</v>
      </c>
      <c r="K100" s="155">
        <v>2085</v>
      </c>
      <c r="L100" s="155">
        <v>451540</v>
      </c>
      <c r="M100" s="155">
        <v>355951</v>
      </c>
      <c r="N100" s="155">
        <v>64777</v>
      </c>
      <c r="O100" s="156">
        <v>6.82</v>
      </c>
      <c r="P100" s="62">
        <v>2010</v>
      </c>
      <c r="Q100" s="194">
        <f t="shared" si="11"/>
        <v>2010</v>
      </c>
      <c r="R100" s="245"/>
      <c r="S100" s="79">
        <v>96.08030592734225</v>
      </c>
    </row>
    <row r="101" spans="1:19" s="248" customFormat="1" ht="13.5" customHeight="1">
      <c r="A101" s="360">
        <v>87</v>
      </c>
      <c r="B101" s="526"/>
      <c r="C101" s="524"/>
      <c r="D101" s="524"/>
      <c r="E101" s="151" t="s">
        <v>540</v>
      </c>
      <c r="F101" s="152">
        <f>(3.9+3.2+5.3+2.3)*1.4</f>
        <v>20.58</v>
      </c>
      <c r="G101" s="153">
        <v>33</v>
      </c>
      <c r="H101" s="155">
        <v>3000</v>
      </c>
      <c r="I101" s="152">
        <v>32.28</v>
      </c>
      <c r="J101" s="153">
        <v>30</v>
      </c>
      <c r="K101" s="155">
        <v>3349</v>
      </c>
      <c r="L101" s="155">
        <v>695796</v>
      </c>
      <c r="M101" s="155">
        <v>575311</v>
      </c>
      <c r="N101" s="155">
        <v>90435</v>
      </c>
      <c r="O101" s="156">
        <v>4.32</v>
      </c>
      <c r="P101" s="62">
        <v>3403</v>
      </c>
      <c r="Q101" s="194">
        <f t="shared" si="11"/>
        <v>3403</v>
      </c>
      <c r="R101" s="245"/>
      <c r="S101" s="79">
        <v>99.41571720712825</v>
      </c>
    </row>
    <row r="102" spans="1:19" s="248" customFormat="1" ht="13.5" customHeight="1">
      <c r="A102" s="346">
        <v>88</v>
      </c>
      <c r="B102" s="271"/>
      <c r="C102" s="272"/>
      <c r="D102" s="346"/>
      <c r="E102" s="273" t="s">
        <v>543</v>
      </c>
      <c r="F102" s="331">
        <f>(5.5+3.9+3.2+2.5)*1.5</f>
        <v>22.650000000000002</v>
      </c>
      <c r="G102" s="332">
        <v>35</v>
      </c>
      <c r="H102" s="277">
        <v>2855</v>
      </c>
      <c r="I102" s="331">
        <v>34.2</v>
      </c>
      <c r="J102" s="332">
        <v>27</v>
      </c>
      <c r="K102" s="277">
        <v>3429</v>
      </c>
      <c r="L102" s="277">
        <v>742176</v>
      </c>
      <c r="M102" s="277">
        <v>630344</v>
      </c>
      <c r="N102" s="277">
        <v>86988</v>
      </c>
      <c r="O102" s="278">
        <v>3.35</v>
      </c>
      <c r="P102" s="279">
        <v>3085</v>
      </c>
      <c r="Q102" s="280">
        <f t="shared" si="11"/>
        <v>3085</v>
      </c>
      <c r="R102" s="272"/>
      <c r="S102" s="296">
        <v>98.27970691302963</v>
      </c>
    </row>
    <row r="103" spans="1:19" s="248" customFormat="1" ht="13.5" customHeight="1">
      <c r="A103" s="361">
        <v>89</v>
      </c>
      <c r="B103" s="532" t="s">
        <v>141</v>
      </c>
      <c r="C103" s="534">
        <v>12</v>
      </c>
      <c r="D103" s="534">
        <v>12</v>
      </c>
      <c r="E103" s="333" t="s">
        <v>547</v>
      </c>
      <c r="F103" s="158">
        <v>13.1626</v>
      </c>
      <c r="G103" s="153">
        <v>21</v>
      </c>
      <c r="H103" s="159">
        <v>4440</v>
      </c>
      <c r="I103" s="158">
        <v>41.419</v>
      </c>
      <c r="J103" s="153">
        <v>112</v>
      </c>
      <c r="K103" s="159">
        <v>4187</v>
      </c>
      <c r="L103" s="159">
        <v>22910248</v>
      </c>
      <c r="M103" s="159">
        <v>19474058</v>
      </c>
      <c r="N103" s="159">
        <v>2666406</v>
      </c>
      <c r="O103" s="188">
        <f>ROUND((L103-M103-N103)/L103*100,2)</f>
        <v>3.36</v>
      </c>
      <c r="P103" s="336">
        <v>4616</v>
      </c>
      <c r="Q103" s="288">
        <f t="shared" si="11"/>
        <v>4616</v>
      </c>
      <c r="R103" s="264"/>
      <c r="S103" s="294">
        <v>100</v>
      </c>
    </row>
    <row r="104" spans="1:19" s="248" customFormat="1" ht="13.5" customHeight="1">
      <c r="A104" s="360">
        <v>90</v>
      </c>
      <c r="B104" s="533"/>
      <c r="C104" s="523"/>
      <c r="D104" s="523"/>
      <c r="E104" s="151" t="s">
        <v>548</v>
      </c>
      <c r="F104" s="158">
        <v>16.163</v>
      </c>
      <c r="G104" s="153">
        <v>18</v>
      </c>
      <c r="H104" s="159">
        <v>1535</v>
      </c>
      <c r="I104" s="158">
        <v>21.438</v>
      </c>
      <c r="J104" s="153">
        <v>24</v>
      </c>
      <c r="K104" s="159">
        <v>1884</v>
      </c>
      <c r="L104" s="159">
        <v>3669994</v>
      </c>
      <c r="M104" s="159">
        <v>3272060</v>
      </c>
      <c r="N104" s="159">
        <v>224710</v>
      </c>
      <c r="O104" s="188">
        <f aca="true" t="shared" si="12" ref="O104:O114">ROUND((L104-M104-N104)/L104*100,2)</f>
        <v>4.72</v>
      </c>
      <c r="P104" s="62">
        <v>2142</v>
      </c>
      <c r="Q104" s="194">
        <f t="shared" si="11"/>
        <v>2142</v>
      </c>
      <c r="R104" s="245"/>
      <c r="S104" s="79">
        <v>97.36363636363636</v>
      </c>
    </row>
    <row r="105" spans="1:19" s="248" customFormat="1" ht="13.5" customHeight="1">
      <c r="A105" s="360">
        <v>91</v>
      </c>
      <c r="B105" s="530"/>
      <c r="C105" s="524"/>
      <c r="D105" s="524"/>
      <c r="E105" s="151" t="s">
        <v>549</v>
      </c>
      <c r="F105" s="158">
        <v>8.662</v>
      </c>
      <c r="G105" s="153">
        <v>8</v>
      </c>
      <c r="H105" s="159">
        <v>872.5</v>
      </c>
      <c r="I105" s="158">
        <v>18.105</v>
      </c>
      <c r="J105" s="153">
        <v>35</v>
      </c>
      <c r="K105" s="159">
        <v>1998</v>
      </c>
      <c r="L105" s="159">
        <v>6191789</v>
      </c>
      <c r="M105" s="159">
        <v>5526366</v>
      </c>
      <c r="N105" s="159">
        <v>530442</v>
      </c>
      <c r="O105" s="188">
        <f t="shared" si="12"/>
        <v>2.18</v>
      </c>
      <c r="P105" s="62">
        <v>2097</v>
      </c>
      <c r="Q105" s="194">
        <f aca="true" t="shared" si="13" ref="Q105:Q114">P105</f>
        <v>2097</v>
      </c>
      <c r="R105" s="245"/>
      <c r="S105" s="79">
        <v>95.97254004576658</v>
      </c>
    </row>
    <row r="106" spans="1:19" s="248" customFormat="1" ht="13.5" customHeight="1">
      <c r="A106" s="360">
        <v>92</v>
      </c>
      <c r="B106" s="78"/>
      <c r="C106" s="245"/>
      <c r="D106" s="347"/>
      <c r="E106" s="151" t="s">
        <v>550</v>
      </c>
      <c r="F106" s="158">
        <v>18.586</v>
      </c>
      <c r="G106" s="153">
        <v>24</v>
      </c>
      <c r="H106" s="159">
        <v>4875</v>
      </c>
      <c r="I106" s="158">
        <v>23.267</v>
      </c>
      <c r="J106" s="153">
        <v>129</v>
      </c>
      <c r="K106" s="159">
        <v>4606</v>
      </c>
      <c r="L106" s="159">
        <v>21350293</v>
      </c>
      <c r="M106" s="159">
        <v>17918647</v>
      </c>
      <c r="N106" s="159">
        <v>2306486</v>
      </c>
      <c r="O106" s="188">
        <f t="shared" si="12"/>
        <v>5.27</v>
      </c>
      <c r="P106" s="62">
        <v>3995</v>
      </c>
      <c r="Q106" s="194">
        <f t="shared" si="13"/>
        <v>3995</v>
      </c>
      <c r="R106" s="245"/>
      <c r="S106" s="293">
        <v>100</v>
      </c>
    </row>
    <row r="107" spans="1:19" s="248" customFormat="1" ht="13.5" customHeight="1">
      <c r="A107" s="360">
        <v>93</v>
      </c>
      <c r="B107" s="78"/>
      <c r="C107" s="245"/>
      <c r="D107" s="347"/>
      <c r="E107" s="151" t="s">
        <v>551</v>
      </c>
      <c r="F107" s="158">
        <v>10.2687</v>
      </c>
      <c r="G107" s="153">
        <v>18</v>
      </c>
      <c r="H107" s="159">
        <v>1787.5</v>
      </c>
      <c r="I107" s="158">
        <v>16.911</v>
      </c>
      <c r="J107" s="153">
        <v>16</v>
      </c>
      <c r="K107" s="159">
        <v>3288</v>
      </c>
      <c r="L107" s="159">
        <v>7877286</v>
      </c>
      <c r="M107" s="159">
        <v>7028951</v>
      </c>
      <c r="N107" s="159">
        <v>445018</v>
      </c>
      <c r="O107" s="188">
        <f t="shared" si="12"/>
        <v>5.12</v>
      </c>
      <c r="P107" s="62">
        <v>2758</v>
      </c>
      <c r="Q107" s="194">
        <f t="shared" si="13"/>
        <v>2758</v>
      </c>
      <c r="R107" s="245"/>
      <c r="S107" s="79">
        <v>96.6701717490361</v>
      </c>
    </row>
    <row r="108" spans="1:19" s="248" customFormat="1" ht="13.5" customHeight="1">
      <c r="A108" s="360">
        <v>94</v>
      </c>
      <c r="B108" s="78"/>
      <c r="C108" s="245"/>
      <c r="D108" s="347"/>
      <c r="E108" s="151" t="s">
        <v>552</v>
      </c>
      <c r="F108" s="158">
        <v>20.8415</v>
      </c>
      <c r="G108" s="153">
        <v>28</v>
      </c>
      <c r="H108" s="159">
        <v>2075</v>
      </c>
      <c r="I108" s="158">
        <v>28.569</v>
      </c>
      <c r="J108" s="153">
        <v>35</v>
      </c>
      <c r="K108" s="159">
        <v>2016</v>
      </c>
      <c r="L108" s="159">
        <v>5031785</v>
      </c>
      <c r="M108" s="159">
        <v>4590682</v>
      </c>
      <c r="N108" s="159">
        <v>281595</v>
      </c>
      <c r="O108" s="188">
        <f t="shared" si="12"/>
        <v>3.17</v>
      </c>
      <c r="P108" s="62">
        <v>2381</v>
      </c>
      <c r="Q108" s="194">
        <f t="shared" si="13"/>
        <v>2381</v>
      </c>
      <c r="R108" s="245"/>
      <c r="S108" s="79">
        <v>96.12434396447316</v>
      </c>
    </row>
    <row r="109" spans="1:19" s="248" customFormat="1" ht="13.5" customHeight="1">
      <c r="A109" s="360">
        <v>95</v>
      </c>
      <c r="B109" s="78"/>
      <c r="C109" s="245"/>
      <c r="D109" s="347"/>
      <c r="E109" s="151" t="s">
        <v>553</v>
      </c>
      <c r="F109" s="158">
        <v>21.734</v>
      </c>
      <c r="G109" s="153">
        <v>20</v>
      </c>
      <c r="H109" s="159">
        <v>2940</v>
      </c>
      <c r="I109" s="158">
        <v>23.768</v>
      </c>
      <c r="J109" s="153">
        <v>15</v>
      </c>
      <c r="K109" s="159">
        <v>2644</v>
      </c>
      <c r="L109" s="159">
        <v>4949510</v>
      </c>
      <c r="M109" s="159">
        <v>4419284</v>
      </c>
      <c r="N109" s="159">
        <v>252064</v>
      </c>
      <c r="O109" s="188">
        <f t="shared" si="12"/>
        <v>5.62</v>
      </c>
      <c r="P109" s="62">
        <v>2366</v>
      </c>
      <c r="Q109" s="194">
        <f t="shared" si="13"/>
        <v>2366</v>
      </c>
      <c r="R109" s="245"/>
      <c r="S109" s="79">
        <v>98.25581395348837</v>
      </c>
    </row>
    <row r="110" spans="1:19" s="248" customFormat="1" ht="13.5" customHeight="1">
      <c r="A110" s="360">
        <v>96</v>
      </c>
      <c r="B110" s="78"/>
      <c r="C110" s="245"/>
      <c r="D110" s="347"/>
      <c r="E110" s="151" t="s">
        <v>554</v>
      </c>
      <c r="F110" s="158">
        <v>14.1155</v>
      </c>
      <c r="G110" s="153">
        <v>13</v>
      </c>
      <c r="H110" s="159">
        <v>2225</v>
      </c>
      <c r="I110" s="158">
        <v>39.429</v>
      </c>
      <c r="J110" s="153">
        <v>19</v>
      </c>
      <c r="K110" s="159">
        <v>2333</v>
      </c>
      <c r="L110" s="159">
        <v>8709406</v>
      </c>
      <c r="M110" s="159">
        <v>7982118</v>
      </c>
      <c r="N110" s="159">
        <v>347558</v>
      </c>
      <c r="O110" s="188">
        <f t="shared" si="12"/>
        <v>4.36</v>
      </c>
      <c r="P110" s="62">
        <v>2429</v>
      </c>
      <c r="Q110" s="194">
        <f t="shared" si="13"/>
        <v>2429</v>
      </c>
      <c r="R110" s="245"/>
      <c r="S110" s="79">
        <v>95.89419660481643</v>
      </c>
    </row>
    <row r="111" spans="1:19" s="248" customFormat="1" ht="13.5" customHeight="1">
      <c r="A111" s="360">
        <v>97</v>
      </c>
      <c r="B111" s="78"/>
      <c r="C111" s="245"/>
      <c r="D111" s="347"/>
      <c r="E111" s="151" t="s">
        <v>555</v>
      </c>
      <c r="F111" s="158">
        <v>12.9565</v>
      </c>
      <c r="G111" s="153">
        <v>18</v>
      </c>
      <c r="H111" s="159">
        <v>1645</v>
      </c>
      <c r="I111" s="158">
        <v>18.985</v>
      </c>
      <c r="J111" s="153">
        <v>22</v>
      </c>
      <c r="K111" s="159">
        <v>2727</v>
      </c>
      <c r="L111" s="159">
        <v>6394883</v>
      </c>
      <c r="M111" s="159">
        <v>5562165</v>
      </c>
      <c r="N111" s="159">
        <v>433038</v>
      </c>
      <c r="O111" s="188">
        <f t="shared" si="12"/>
        <v>6.25</v>
      </c>
      <c r="P111" s="62">
        <v>2140</v>
      </c>
      <c r="Q111" s="194">
        <f t="shared" si="13"/>
        <v>2140</v>
      </c>
      <c r="R111" s="245"/>
      <c r="S111" s="293">
        <v>100</v>
      </c>
    </row>
    <row r="112" spans="1:19" s="248" customFormat="1" ht="13.5" customHeight="1">
      <c r="A112" s="360">
        <v>98</v>
      </c>
      <c r="B112" s="258"/>
      <c r="C112" s="245"/>
      <c r="D112" s="347"/>
      <c r="E112" s="243" t="s">
        <v>556</v>
      </c>
      <c r="F112" s="158">
        <v>35.527</v>
      </c>
      <c r="G112" s="153">
        <v>26</v>
      </c>
      <c r="H112" s="159">
        <v>2868</v>
      </c>
      <c r="I112" s="158">
        <v>35.75</v>
      </c>
      <c r="J112" s="153">
        <v>10</v>
      </c>
      <c r="K112" s="159">
        <v>1412</v>
      </c>
      <c r="L112" s="159">
        <v>11422146</v>
      </c>
      <c r="M112" s="159">
        <v>10006247</v>
      </c>
      <c r="N112" s="159">
        <v>938453</v>
      </c>
      <c r="O112" s="188">
        <f t="shared" si="12"/>
        <v>4.18</v>
      </c>
      <c r="P112" s="62">
        <v>4007</v>
      </c>
      <c r="Q112" s="194">
        <f t="shared" si="13"/>
        <v>4007</v>
      </c>
      <c r="R112" s="245"/>
      <c r="S112" s="79">
        <v>97.9227761485826</v>
      </c>
    </row>
    <row r="113" spans="1:19" s="248" customFormat="1" ht="13.5" customHeight="1">
      <c r="A113" s="360">
        <v>99</v>
      </c>
      <c r="B113" s="78"/>
      <c r="C113" s="245"/>
      <c r="D113" s="347"/>
      <c r="E113" s="333" t="s">
        <v>557</v>
      </c>
      <c r="F113" s="158">
        <v>32.5441</v>
      </c>
      <c r="G113" s="153">
        <v>19</v>
      </c>
      <c r="H113" s="159">
        <v>1505</v>
      </c>
      <c r="I113" s="158">
        <v>22.436</v>
      </c>
      <c r="J113" s="153">
        <v>23</v>
      </c>
      <c r="K113" s="159">
        <v>2377</v>
      </c>
      <c r="L113" s="159">
        <v>1166478</v>
      </c>
      <c r="M113" s="159">
        <v>1046423</v>
      </c>
      <c r="N113" s="159">
        <v>74329</v>
      </c>
      <c r="O113" s="188">
        <f t="shared" si="12"/>
        <v>3.92</v>
      </c>
      <c r="P113" s="62">
        <v>2890</v>
      </c>
      <c r="Q113" s="194">
        <f t="shared" si="13"/>
        <v>2890</v>
      </c>
      <c r="R113" s="245"/>
      <c r="S113" s="79">
        <v>93.73986376905611</v>
      </c>
    </row>
    <row r="114" spans="1:19" s="248" customFormat="1" ht="13.5" customHeight="1">
      <c r="A114" s="346">
        <v>100</v>
      </c>
      <c r="B114" s="271"/>
      <c r="C114" s="272"/>
      <c r="D114" s="346"/>
      <c r="E114" s="330" t="s">
        <v>558</v>
      </c>
      <c r="F114" s="382">
        <v>39.118</v>
      </c>
      <c r="G114" s="332">
        <v>22</v>
      </c>
      <c r="H114" s="383">
        <v>1310</v>
      </c>
      <c r="I114" s="382">
        <v>15.623</v>
      </c>
      <c r="J114" s="332">
        <v>18</v>
      </c>
      <c r="K114" s="383">
        <v>1838</v>
      </c>
      <c r="L114" s="383">
        <v>5389736</v>
      </c>
      <c r="M114" s="383">
        <v>4826502</v>
      </c>
      <c r="N114" s="383">
        <v>290513</v>
      </c>
      <c r="O114" s="329">
        <f t="shared" si="12"/>
        <v>5.06</v>
      </c>
      <c r="P114" s="279">
        <v>2282</v>
      </c>
      <c r="Q114" s="280">
        <f t="shared" si="13"/>
        <v>2282</v>
      </c>
      <c r="R114" s="272"/>
      <c r="S114" s="296">
        <v>98.06617963042544</v>
      </c>
    </row>
    <row r="115" spans="1:19" s="248" customFormat="1" ht="13.5" customHeight="1">
      <c r="A115" s="384" t="s">
        <v>168</v>
      </c>
      <c r="B115" s="385" t="s">
        <v>394</v>
      </c>
      <c r="C115" s="349"/>
      <c r="D115" s="347"/>
      <c r="E115" s="209"/>
      <c r="F115" s="350"/>
      <c r="G115" s="209"/>
      <c r="H115" s="351"/>
      <c r="I115" s="352"/>
      <c r="J115" s="232"/>
      <c r="K115" s="353"/>
      <c r="L115" s="354"/>
      <c r="M115" s="353"/>
      <c r="N115" s="354"/>
      <c r="O115" s="355"/>
      <c r="P115" s="356"/>
      <c r="Q115" s="357"/>
      <c r="R115" s="349"/>
      <c r="S115" s="358"/>
    </row>
    <row r="116" spans="1:19" s="248" customFormat="1" ht="13.5" customHeight="1">
      <c r="A116" s="346">
        <v>1</v>
      </c>
      <c r="B116" s="387" t="s">
        <v>12</v>
      </c>
      <c r="C116" s="272"/>
      <c r="D116" s="405">
        <v>1</v>
      </c>
      <c r="E116" s="388" t="s">
        <v>455</v>
      </c>
      <c r="F116" s="389">
        <f>9.2984+6.406+12</f>
        <v>27.7044</v>
      </c>
      <c r="G116" s="388">
        <v>51</v>
      </c>
      <c r="H116" s="388">
        <v>8177.5</v>
      </c>
      <c r="I116" s="389">
        <v>38.5559</v>
      </c>
      <c r="J116" s="388">
        <v>201</v>
      </c>
      <c r="K116" s="390">
        <f>2039-201</f>
        <v>1838</v>
      </c>
      <c r="L116" s="390">
        <f>1255440/3</f>
        <v>418480</v>
      </c>
      <c r="M116" s="390">
        <f>1188275/3-N116</f>
        <v>348062.6666666667</v>
      </c>
      <c r="N116" s="390">
        <f>11161+11574+4277+9930+6879+4208</f>
        <v>48029</v>
      </c>
      <c r="O116" s="391">
        <f>(L116-M116-N116)*100/L116</f>
        <v>5.349917160517423</v>
      </c>
      <c r="P116" s="279">
        <v>2076</v>
      </c>
      <c r="Q116" s="390">
        <f>P116</f>
        <v>2076</v>
      </c>
      <c r="R116" s="392"/>
      <c r="S116" s="391">
        <v>98.29545454545455</v>
      </c>
    </row>
    <row r="117" spans="1:19" s="248" customFormat="1" ht="13.5" customHeight="1">
      <c r="A117" s="386">
        <v>2</v>
      </c>
      <c r="B117" s="387" t="s">
        <v>31</v>
      </c>
      <c r="C117" s="272"/>
      <c r="D117" s="405">
        <v>1</v>
      </c>
      <c r="E117" s="283" t="s">
        <v>476</v>
      </c>
      <c r="F117" s="393">
        <f>11.359+18.4566+2</f>
        <v>31.815600000000003</v>
      </c>
      <c r="G117" s="283">
        <v>23</v>
      </c>
      <c r="H117" s="285">
        <v>1365</v>
      </c>
      <c r="I117" s="393">
        <v>11.7278</v>
      </c>
      <c r="J117" s="283">
        <v>11</v>
      </c>
      <c r="K117" s="284">
        <v>982</v>
      </c>
      <c r="L117" s="284">
        <f>316000/3</f>
        <v>105333.33333333333</v>
      </c>
      <c r="M117" s="284">
        <f>302499/3-N117</f>
        <v>98703</v>
      </c>
      <c r="N117" s="284">
        <f>1889+241</f>
        <v>2130</v>
      </c>
      <c r="O117" s="289">
        <f>(L117-M117-N117)*100/L117</f>
        <v>4.272468354430376</v>
      </c>
      <c r="P117" s="279">
        <v>1058</v>
      </c>
      <c r="Q117" s="390">
        <f>P117</f>
        <v>1058</v>
      </c>
      <c r="R117" s="392"/>
      <c r="S117" s="391">
        <v>94.80286738351255</v>
      </c>
    </row>
    <row r="118" spans="1:19" s="248" customFormat="1" ht="13.5" customHeight="1">
      <c r="A118" s="361">
        <v>3</v>
      </c>
      <c r="B118" s="517" t="s">
        <v>57</v>
      </c>
      <c r="C118" s="264"/>
      <c r="D118" s="534">
        <v>7</v>
      </c>
      <c r="E118" s="115" t="s">
        <v>477</v>
      </c>
      <c r="F118" s="263">
        <v>24.664</v>
      </c>
      <c r="G118" s="265">
        <v>24</v>
      </c>
      <c r="H118" s="290">
        <v>1310</v>
      </c>
      <c r="I118" s="265">
        <v>19.601</v>
      </c>
      <c r="J118" s="264">
        <v>7</v>
      </c>
      <c r="K118" s="288">
        <v>1953</v>
      </c>
      <c r="L118" s="290">
        <v>282165.6888888889</v>
      </c>
      <c r="M118" s="288">
        <v>225078.33333333334</v>
      </c>
      <c r="N118" s="290">
        <v>39452</v>
      </c>
      <c r="O118" s="312">
        <v>6.250000000000008</v>
      </c>
      <c r="P118" s="336">
        <v>1960</v>
      </c>
      <c r="Q118" s="288">
        <f>P118</f>
        <v>1960</v>
      </c>
      <c r="R118" s="264"/>
      <c r="S118" s="302">
        <v>98.93992932862191</v>
      </c>
    </row>
    <row r="119" spans="1:19" s="248" customFormat="1" ht="13.5" customHeight="1">
      <c r="A119" s="360">
        <v>4</v>
      </c>
      <c r="B119" s="516"/>
      <c r="C119" s="245"/>
      <c r="D119" s="524"/>
      <c r="E119" s="297" t="s">
        <v>479</v>
      </c>
      <c r="F119" s="244">
        <v>20.462</v>
      </c>
      <c r="G119" s="78">
        <v>31</v>
      </c>
      <c r="H119" s="301">
        <v>2277.5</v>
      </c>
      <c r="I119" s="78">
        <v>20.165</v>
      </c>
      <c r="J119" s="245">
        <v>21</v>
      </c>
      <c r="K119" s="194">
        <v>1159</v>
      </c>
      <c r="L119" s="291">
        <v>349175.82804792107</v>
      </c>
      <c r="M119" s="194">
        <v>283085.3333333333</v>
      </c>
      <c r="N119" s="291">
        <v>47235</v>
      </c>
      <c r="O119" s="313">
        <v>5.4</v>
      </c>
      <c r="P119" s="62">
        <v>1180</v>
      </c>
      <c r="Q119" s="194">
        <f aca="true" t="shared" si="14" ref="Q119:Q124">P119</f>
        <v>1180</v>
      </c>
      <c r="R119" s="245"/>
      <c r="S119" s="79">
        <v>98.74476987447699</v>
      </c>
    </row>
    <row r="120" spans="1:19" s="248" customFormat="1" ht="13.5" customHeight="1">
      <c r="A120" s="360">
        <v>5</v>
      </c>
      <c r="B120" s="78"/>
      <c r="C120" s="245"/>
      <c r="D120" s="262"/>
      <c r="E120" s="115" t="s">
        <v>481</v>
      </c>
      <c r="F120" s="244">
        <v>11.998000000000001</v>
      </c>
      <c r="G120" s="78">
        <v>35</v>
      </c>
      <c r="H120" s="291">
        <v>5110</v>
      </c>
      <c r="I120" s="78">
        <v>18.424</v>
      </c>
      <c r="J120" s="245">
        <v>9</v>
      </c>
      <c r="K120" s="194">
        <v>1456</v>
      </c>
      <c r="L120" s="291">
        <v>432056.50319829426</v>
      </c>
      <c r="M120" s="194">
        <v>382520.6666666667</v>
      </c>
      <c r="N120" s="291">
        <v>22748.333333333332</v>
      </c>
      <c r="O120" s="313">
        <v>6.2</v>
      </c>
      <c r="P120" s="62">
        <v>1465</v>
      </c>
      <c r="Q120" s="194">
        <f t="shared" si="14"/>
        <v>1465</v>
      </c>
      <c r="R120" s="245"/>
      <c r="S120" s="79">
        <v>91.67709637046308</v>
      </c>
    </row>
    <row r="121" spans="1:19" s="248" customFormat="1" ht="13.5" customHeight="1">
      <c r="A121" s="360">
        <v>6</v>
      </c>
      <c r="B121" s="78"/>
      <c r="C121" s="245"/>
      <c r="D121" s="262"/>
      <c r="E121" s="136" t="s">
        <v>486</v>
      </c>
      <c r="F121" s="244">
        <v>40.6365</v>
      </c>
      <c r="G121" s="78">
        <v>55</v>
      </c>
      <c r="H121" s="301">
        <v>5007.5</v>
      </c>
      <c r="I121" s="78">
        <v>53.748</v>
      </c>
      <c r="J121" s="245">
        <v>21</v>
      </c>
      <c r="K121" s="194">
        <v>3955</v>
      </c>
      <c r="L121" s="291">
        <v>694248</v>
      </c>
      <c r="M121" s="194">
        <v>500406</v>
      </c>
      <c r="N121" s="291">
        <v>139761</v>
      </c>
      <c r="O121" s="314" t="s">
        <v>241</v>
      </c>
      <c r="P121" s="62">
        <v>3643</v>
      </c>
      <c r="Q121" s="194">
        <f t="shared" si="14"/>
        <v>3643</v>
      </c>
      <c r="R121" s="245"/>
      <c r="S121" s="79">
        <v>89.09268769870384</v>
      </c>
    </row>
    <row r="122" spans="1:19" s="248" customFormat="1" ht="13.5" customHeight="1">
      <c r="A122" s="360">
        <v>7</v>
      </c>
      <c r="B122" s="78"/>
      <c r="C122" s="245"/>
      <c r="D122" s="262"/>
      <c r="E122" s="310" t="s">
        <v>487</v>
      </c>
      <c r="F122" s="244">
        <v>21.2277</v>
      </c>
      <c r="G122" s="78">
        <v>26</v>
      </c>
      <c r="H122" s="291">
        <v>1735</v>
      </c>
      <c r="I122" s="78">
        <v>23.329</v>
      </c>
      <c r="J122" s="245">
        <v>20</v>
      </c>
      <c r="K122" s="194">
        <v>3790</v>
      </c>
      <c r="L122" s="291">
        <v>693550</v>
      </c>
      <c r="M122" s="194">
        <v>564154</v>
      </c>
      <c r="N122" s="291">
        <v>96037</v>
      </c>
      <c r="O122" s="314" t="s">
        <v>240</v>
      </c>
      <c r="P122" s="62">
        <v>3896</v>
      </c>
      <c r="Q122" s="194">
        <f t="shared" si="14"/>
        <v>3896</v>
      </c>
      <c r="R122" s="245"/>
      <c r="S122" s="79">
        <v>97.4487243621811</v>
      </c>
    </row>
    <row r="123" spans="1:19" s="248" customFormat="1" ht="13.5" customHeight="1">
      <c r="A123" s="360">
        <v>8</v>
      </c>
      <c r="B123" s="78"/>
      <c r="C123" s="245"/>
      <c r="D123" s="262"/>
      <c r="E123" s="136" t="s">
        <v>488</v>
      </c>
      <c r="F123" s="244">
        <v>28.5879</v>
      </c>
      <c r="G123" s="78">
        <v>47</v>
      </c>
      <c r="H123" s="291">
        <v>3815</v>
      </c>
      <c r="I123" s="78">
        <v>49.805</v>
      </c>
      <c r="J123" s="245">
        <v>9</v>
      </c>
      <c r="K123" s="194">
        <v>3491</v>
      </c>
      <c r="L123" s="291">
        <v>490303</v>
      </c>
      <c r="M123" s="194">
        <v>404969</v>
      </c>
      <c r="N123" s="291">
        <v>62290</v>
      </c>
      <c r="O123" s="313">
        <v>4.7</v>
      </c>
      <c r="P123" s="62">
        <v>3641</v>
      </c>
      <c r="Q123" s="194">
        <f t="shared" si="14"/>
        <v>3641</v>
      </c>
      <c r="R123" s="245"/>
      <c r="S123" s="79">
        <v>98.67208672086721</v>
      </c>
    </row>
    <row r="124" spans="1:19" s="248" customFormat="1" ht="13.5" customHeight="1">
      <c r="A124" s="346">
        <v>9</v>
      </c>
      <c r="B124" s="271"/>
      <c r="C124" s="272"/>
      <c r="D124" s="346"/>
      <c r="E124" s="315" t="s">
        <v>489</v>
      </c>
      <c r="F124" s="270">
        <v>22.2295</v>
      </c>
      <c r="G124" s="271">
        <v>27</v>
      </c>
      <c r="H124" s="316">
        <v>1862.5</v>
      </c>
      <c r="I124" s="271">
        <v>24.589</v>
      </c>
      <c r="J124" s="272">
        <v>9</v>
      </c>
      <c r="K124" s="280">
        <v>1683</v>
      </c>
      <c r="L124" s="292">
        <v>230431</v>
      </c>
      <c r="M124" s="280">
        <v>188496</v>
      </c>
      <c r="N124" s="292">
        <v>27234</v>
      </c>
      <c r="O124" s="317">
        <v>6.38</v>
      </c>
      <c r="P124" s="279">
        <v>1763</v>
      </c>
      <c r="Q124" s="280">
        <f t="shared" si="14"/>
        <v>1763</v>
      </c>
      <c r="R124" s="272"/>
      <c r="S124" s="296">
        <v>93.62719065321295</v>
      </c>
    </row>
    <row r="125" spans="1:19" s="248" customFormat="1" ht="13.5" customHeight="1">
      <c r="A125" s="361">
        <v>10</v>
      </c>
      <c r="B125" s="531" t="s">
        <v>86</v>
      </c>
      <c r="C125" s="264"/>
      <c r="D125" s="534">
        <v>8</v>
      </c>
      <c r="E125" s="115" t="s">
        <v>504</v>
      </c>
      <c r="F125" s="186">
        <v>21.491</v>
      </c>
      <c r="G125" s="62">
        <v>19</v>
      </c>
      <c r="H125" s="187">
        <v>1300</v>
      </c>
      <c r="I125" s="186">
        <v>19.196</v>
      </c>
      <c r="J125" s="62">
        <v>7</v>
      </c>
      <c r="K125" s="62">
        <v>1167</v>
      </c>
      <c r="L125" s="62">
        <v>418921</v>
      </c>
      <c r="M125" s="62">
        <v>349422</v>
      </c>
      <c r="N125" s="62">
        <v>35989</v>
      </c>
      <c r="O125" s="188">
        <f aca="true" t="shared" si="15" ref="O125:O132">ROUND((L125-M125-N125)/L125*100,2)</f>
        <v>8</v>
      </c>
      <c r="P125" s="336">
        <v>1484</v>
      </c>
      <c r="Q125" s="288">
        <f>P125</f>
        <v>1484</v>
      </c>
      <c r="R125" s="264"/>
      <c r="S125" s="302">
        <v>98.6046511627907</v>
      </c>
    </row>
    <row r="126" spans="1:19" s="248" customFormat="1" ht="13.5" customHeight="1">
      <c r="A126" s="360">
        <v>11</v>
      </c>
      <c r="B126" s="522"/>
      <c r="C126" s="245"/>
      <c r="D126" s="524"/>
      <c r="E126" s="115" t="s">
        <v>506</v>
      </c>
      <c r="F126" s="186">
        <v>17.985</v>
      </c>
      <c r="G126" s="62">
        <v>15</v>
      </c>
      <c r="H126" s="187">
        <v>762.5</v>
      </c>
      <c r="I126" s="186">
        <v>17.917</v>
      </c>
      <c r="J126" s="62">
        <v>5</v>
      </c>
      <c r="K126" s="62">
        <v>663</v>
      </c>
      <c r="L126" s="62">
        <v>499513</v>
      </c>
      <c r="M126" s="62">
        <v>406536</v>
      </c>
      <c r="N126" s="62">
        <v>63858</v>
      </c>
      <c r="O126" s="188">
        <f t="shared" si="15"/>
        <v>5.83</v>
      </c>
      <c r="P126" s="62">
        <v>1005</v>
      </c>
      <c r="Q126" s="194">
        <f aca="true" t="shared" si="16" ref="Q126:Q132">P126</f>
        <v>1005</v>
      </c>
      <c r="R126" s="245"/>
      <c r="S126" s="79">
        <v>90.45904590459047</v>
      </c>
    </row>
    <row r="127" spans="1:19" s="248" customFormat="1" ht="13.5" customHeight="1">
      <c r="A127" s="360">
        <v>12</v>
      </c>
      <c r="B127" s="78"/>
      <c r="C127" s="245"/>
      <c r="D127" s="78"/>
      <c r="E127" s="115" t="s">
        <v>507</v>
      </c>
      <c r="F127" s="186">
        <v>19.759</v>
      </c>
      <c r="G127" s="62">
        <v>18</v>
      </c>
      <c r="H127" s="187">
        <v>1537.5</v>
      </c>
      <c r="I127" s="186">
        <v>25.296</v>
      </c>
      <c r="J127" s="62">
        <v>16</v>
      </c>
      <c r="K127" s="62">
        <v>887</v>
      </c>
      <c r="L127" s="62">
        <v>879511</v>
      </c>
      <c r="M127" s="62">
        <v>571398</v>
      </c>
      <c r="N127" s="62">
        <v>240368</v>
      </c>
      <c r="O127" s="188">
        <f t="shared" si="15"/>
        <v>7.7</v>
      </c>
      <c r="P127" s="62">
        <v>1066</v>
      </c>
      <c r="Q127" s="194">
        <f t="shared" si="16"/>
        <v>1066</v>
      </c>
      <c r="R127" s="245"/>
      <c r="S127" s="79">
        <v>91.73838209982789</v>
      </c>
    </row>
    <row r="128" spans="1:19" s="248" customFormat="1" ht="13.5" customHeight="1">
      <c r="A128" s="360">
        <v>13</v>
      </c>
      <c r="B128" s="78"/>
      <c r="C128" s="245"/>
      <c r="D128" s="78"/>
      <c r="E128" s="115" t="s">
        <v>508</v>
      </c>
      <c r="F128" s="186">
        <v>17.047</v>
      </c>
      <c r="G128" s="62">
        <v>18</v>
      </c>
      <c r="H128" s="187">
        <v>1237.5</v>
      </c>
      <c r="I128" s="186">
        <v>21.948</v>
      </c>
      <c r="J128" s="62">
        <v>3</v>
      </c>
      <c r="K128" s="62">
        <v>1237</v>
      </c>
      <c r="L128" s="62">
        <v>935946</v>
      </c>
      <c r="M128" s="62">
        <v>697070</v>
      </c>
      <c r="N128" s="62">
        <v>198720</v>
      </c>
      <c r="O128" s="188">
        <f t="shared" si="15"/>
        <v>4.29</v>
      </c>
      <c r="P128" s="62">
        <v>1525</v>
      </c>
      <c r="Q128" s="194">
        <f t="shared" si="16"/>
        <v>1525</v>
      </c>
      <c r="R128" s="245"/>
      <c r="S128" s="79">
        <v>81.28997867803838</v>
      </c>
    </row>
    <row r="129" spans="1:19" s="248" customFormat="1" ht="13.5" customHeight="1">
      <c r="A129" s="360">
        <v>14</v>
      </c>
      <c r="B129" s="78"/>
      <c r="C129" s="245"/>
      <c r="D129" s="78"/>
      <c r="E129" s="115" t="s">
        <v>510</v>
      </c>
      <c r="F129" s="186">
        <v>9.355</v>
      </c>
      <c r="G129" s="62">
        <v>10</v>
      </c>
      <c r="H129" s="187">
        <v>1360</v>
      </c>
      <c r="I129" s="186">
        <v>22.012</v>
      </c>
      <c r="J129" s="62">
        <v>23</v>
      </c>
      <c r="K129" s="62">
        <v>2187</v>
      </c>
      <c r="L129" s="62">
        <v>1802507</v>
      </c>
      <c r="M129" s="62">
        <v>1477579</v>
      </c>
      <c r="N129" s="62">
        <v>207883</v>
      </c>
      <c r="O129" s="188">
        <f t="shared" si="15"/>
        <v>6.49</v>
      </c>
      <c r="P129" s="62">
        <v>2232</v>
      </c>
      <c r="Q129" s="194">
        <f t="shared" si="16"/>
        <v>2232</v>
      </c>
      <c r="R129" s="245"/>
      <c r="S129" s="79">
        <v>99.91047448522829</v>
      </c>
    </row>
    <row r="130" spans="1:19" s="248" customFormat="1" ht="13.5" customHeight="1">
      <c r="A130" s="360">
        <v>15</v>
      </c>
      <c r="B130" s="78"/>
      <c r="C130" s="245"/>
      <c r="D130" s="78"/>
      <c r="E130" s="115" t="s">
        <v>513</v>
      </c>
      <c r="F130" s="186">
        <v>16.099</v>
      </c>
      <c r="G130" s="62">
        <v>21</v>
      </c>
      <c r="H130" s="187">
        <v>1062.5</v>
      </c>
      <c r="I130" s="186">
        <v>14.155</v>
      </c>
      <c r="J130" s="62">
        <v>5</v>
      </c>
      <c r="K130" s="62">
        <v>1159</v>
      </c>
      <c r="L130" s="62">
        <v>1033664</v>
      </c>
      <c r="M130" s="62">
        <v>833517</v>
      </c>
      <c r="N130" s="62">
        <v>145564</v>
      </c>
      <c r="O130" s="188">
        <f t="shared" si="15"/>
        <v>5.28</v>
      </c>
      <c r="P130" s="62">
        <v>1685</v>
      </c>
      <c r="Q130" s="194">
        <f t="shared" si="16"/>
        <v>1685</v>
      </c>
      <c r="R130" s="245"/>
      <c r="S130" s="79">
        <v>96.61697247706422</v>
      </c>
    </row>
    <row r="131" spans="1:19" s="248" customFormat="1" ht="13.5" customHeight="1">
      <c r="A131" s="360">
        <v>16</v>
      </c>
      <c r="B131" s="78"/>
      <c r="C131" s="245"/>
      <c r="D131" s="78"/>
      <c r="E131" s="115" t="s">
        <v>512</v>
      </c>
      <c r="F131" s="186">
        <v>7.69</v>
      </c>
      <c r="G131" s="62">
        <v>8</v>
      </c>
      <c r="H131" s="187">
        <v>625</v>
      </c>
      <c r="I131" s="186">
        <v>10.51</v>
      </c>
      <c r="J131" s="62">
        <v>10</v>
      </c>
      <c r="K131" s="62">
        <v>1014</v>
      </c>
      <c r="L131" s="62">
        <v>491301</v>
      </c>
      <c r="M131" s="62">
        <v>417141</v>
      </c>
      <c r="N131" s="62">
        <v>54272</v>
      </c>
      <c r="O131" s="188">
        <f t="shared" si="15"/>
        <v>4.05</v>
      </c>
      <c r="P131" s="62">
        <v>1346</v>
      </c>
      <c r="Q131" s="194">
        <f t="shared" si="16"/>
        <v>1346</v>
      </c>
      <c r="R131" s="245"/>
      <c r="S131" s="79">
        <v>98.89786921381337</v>
      </c>
    </row>
    <row r="132" spans="1:19" s="248" customFormat="1" ht="13.5" customHeight="1">
      <c r="A132" s="346">
        <v>17</v>
      </c>
      <c r="B132" s="271"/>
      <c r="C132" s="272"/>
      <c r="D132" s="271"/>
      <c r="E132" s="282" t="s">
        <v>515</v>
      </c>
      <c r="F132" s="327">
        <v>22.93</v>
      </c>
      <c r="G132" s="279">
        <v>26</v>
      </c>
      <c r="H132" s="328">
        <v>2535</v>
      </c>
      <c r="I132" s="327">
        <v>23.864</v>
      </c>
      <c r="J132" s="279">
        <v>72</v>
      </c>
      <c r="K132" s="279">
        <v>1311</v>
      </c>
      <c r="L132" s="279">
        <v>1409490</v>
      </c>
      <c r="M132" s="279">
        <v>753192</v>
      </c>
      <c r="N132" s="279">
        <v>589766</v>
      </c>
      <c r="O132" s="329">
        <f t="shared" si="15"/>
        <v>4.72</v>
      </c>
      <c r="P132" s="279">
        <v>1832</v>
      </c>
      <c r="Q132" s="280">
        <f t="shared" si="16"/>
        <v>1832</v>
      </c>
      <c r="R132" s="272"/>
      <c r="S132" s="296">
        <v>90.96325719960278</v>
      </c>
    </row>
    <row r="133" spans="1:19" s="248" customFormat="1" ht="13.5" customHeight="1">
      <c r="A133" s="361">
        <v>18</v>
      </c>
      <c r="B133" s="521" t="s">
        <v>104</v>
      </c>
      <c r="C133" s="264"/>
      <c r="D133" s="534">
        <v>9</v>
      </c>
      <c r="E133" s="266" t="s">
        <v>512</v>
      </c>
      <c r="F133" s="394">
        <v>65.408</v>
      </c>
      <c r="G133" s="336">
        <v>55</v>
      </c>
      <c r="H133" s="395">
        <v>3325</v>
      </c>
      <c r="I133" s="394">
        <v>58.615</v>
      </c>
      <c r="J133" s="336">
        <v>2</v>
      </c>
      <c r="K133" s="336">
        <v>3116</v>
      </c>
      <c r="L133" s="336">
        <v>491301</v>
      </c>
      <c r="M133" s="336">
        <v>417141</v>
      </c>
      <c r="N133" s="336">
        <v>54272</v>
      </c>
      <c r="O133" s="396">
        <f>ROUND((L133-M133-N133)/L133*100,2)</f>
        <v>4.05</v>
      </c>
      <c r="P133" s="336">
        <v>4078</v>
      </c>
      <c r="Q133" s="288">
        <f>P133</f>
        <v>4078</v>
      </c>
      <c r="R133" s="264"/>
      <c r="S133" s="302">
        <v>69.51926355267643</v>
      </c>
    </row>
    <row r="134" spans="1:19" s="248" customFormat="1" ht="13.5" customHeight="1">
      <c r="A134" s="360">
        <v>19</v>
      </c>
      <c r="B134" s="521"/>
      <c r="C134" s="245"/>
      <c r="D134" s="524"/>
      <c r="E134" s="115" t="s">
        <v>521</v>
      </c>
      <c r="F134" s="186">
        <v>30.806</v>
      </c>
      <c r="G134" s="62">
        <v>27</v>
      </c>
      <c r="H134" s="187">
        <v>2462.5</v>
      </c>
      <c r="I134" s="186">
        <v>34.655</v>
      </c>
      <c r="J134" s="62">
        <v>74</v>
      </c>
      <c r="K134" s="62">
        <v>1349</v>
      </c>
      <c r="L134" s="62">
        <v>1344376</v>
      </c>
      <c r="M134" s="62">
        <v>670432</v>
      </c>
      <c r="N134" s="62">
        <v>618990</v>
      </c>
      <c r="O134" s="188">
        <f aca="true" t="shared" si="17" ref="O134:O140">ROUND((L134-M134-N134)/L134*100,2)</f>
        <v>4.09</v>
      </c>
      <c r="P134" s="62">
        <v>1627</v>
      </c>
      <c r="Q134" s="194">
        <f>P134</f>
        <v>1627</v>
      </c>
      <c r="R134" s="245"/>
      <c r="S134" s="79">
        <v>67.25919801570896</v>
      </c>
    </row>
    <row r="135" spans="1:19" s="248" customFormat="1" ht="13.5" customHeight="1">
      <c r="A135" s="360">
        <v>20</v>
      </c>
      <c r="B135" s="78"/>
      <c r="C135" s="245"/>
      <c r="D135" s="262"/>
      <c r="E135" s="115" t="s">
        <v>523</v>
      </c>
      <c r="F135" s="186">
        <v>7.686</v>
      </c>
      <c r="G135" s="62">
        <v>9</v>
      </c>
      <c r="H135" s="187">
        <v>1715</v>
      </c>
      <c r="I135" s="186">
        <v>12.676</v>
      </c>
      <c r="J135" s="62">
        <v>30</v>
      </c>
      <c r="K135" s="62">
        <v>2365</v>
      </c>
      <c r="L135" s="62">
        <v>1464056</v>
      </c>
      <c r="M135" s="62">
        <v>1210406</v>
      </c>
      <c r="N135" s="62">
        <v>175879</v>
      </c>
      <c r="O135" s="188">
        <f t="shared" si="17"/>
        <v>5.31</v>
      </c>
      <c r="P135" s="62">
        <v>2550</v>
      </c>
      <c r="Q135" s="194">
        <f aca="true" t="shared" si="18" ref="Q135:Q141">P135</f>
        <v>2550</v>
      </c>
      <c r="R135" s="245"/>
      <c r="S135" s="79">
        <v>95.43413173652695</v>
      </c>
    </row>
    <row r="136" spans="1:19" s="248" customFormat="1" ht="13.5" customHeight="1">
      <c r="A136" s="360">
        <v>21</v>
      </c>
      <c r="B136" s="78"/>
      <c r="C136" s="245"/>
      <c r="D136" s="262"/>
      <c r="E136" s="115" t="s">
        <v>524</v>
      </c>
      <c r="F136" s="186">
        <v>10.949</v>
      </c>
      <c r="G136" s="62">
        <v>13</v>
      </c>
      <c r="H136" s="187">
        <v>1100</v>
      </c>
      <c r="I136" s="186">
        <v>23.274</v>
      </c>
      <c r="J136" s="62">
        <v>7</v>
      </c>
      <c r="K136" s="62">
        <v>1101</v>
      </c>
      <c r="L136" s="62">
        <v>635316</v>
      </c>
      <c r="M136" s="62">
        <v>528758</v>
      </c>
      <c r="N136" s="62">
        <v>69206</v>
      </c>
      <c r="O136" s="188">
        <f t="shared" si="17"/>
        <v>5.88</v>
      </c>
      <c r="P136" s="62">
        <v>1541</v>
      </c>
      <c r="Q136" s="194">
        <f t="shared" si="18"/>
        <v>1541</v>
      </c>
      <c r="R136" s="245"/>
      <c r="S136" s="79">
        <v>96.61442006269593</v>
      </c>
    </row>
    <row r="137" spans="1:19" s="248" customFormat="1" ht="13.5" customHeight="1">
      <c r="A137" s="360">
        <v>22</v>
      </c>
      <c r="B137" s="78"/>
      <c r="C137" s="245"/>
      <c r="D137" s="262"/>
      <c r="E137" s="115" t="s">
        <v>525</v>
      </c>
      <c r="F137" s="186">
        <v>21.557</v>
      </c>
      <c r="G137" s="62">
        <v>25</v>
      </c>
      <c r="H137" s="187">
        <v>2070</v>
      </c>
      <c r="I137" s="186">
        <v>32.72</v>
      </c>
      <c r="J137" s="62">
        <v>18</v>
      </c>
      <c r="K137" s="62">
        <v>1282</v>
      </c>
      <c r="L137" s="62">
        <v>1098918</v>
      </c>
      <c r="M137" s="62">
        <v>816118</v>
      </c>
      <c r="N137" s="62">
        <v>274075</v>
      </c>
      <c r="O137" s="188">
        <f t="shared" si="17"/>
        <v>0.79</v>
      </c>
      <c r="P137" s="62">
        <v>1758</v>
      </c>
      <c r="Q137" s="194">
        <f t="shared" si="18"/>
        <v>1758</v>
      </c>
      <c r="R137" s="245"/>
      <c r="S137" s="79">
        <v>89.78549540347294</v>
      </c>
    </row>
    <row r="138" spans="1:19" s="248" customFormat="1" ht="13.5" customHeight="1">
      <c r="A138" s="360">
        <v>23</v>
      </c>
      <c r="B138" s="78"/>
      <c r="C138" s="245"/>
      <c r="D138" s="262"/>
      <c r="E138" s="115" t="s">
        <v>526</v>
      </c>
      <c r="F138" s="186">
        <v>23.884</v>
      </c>
      <c r="G138" s="62">
        <v>27</v>
      </c>
      <c r="H138" s="187">
        <v>2310</v>
      </c>
      <c r="I138" s="186">
        <v>47.447</v>
      </c>
      <c r="J138" s="62">
        <v>20</v>
      </c>
      <c r="K138" s="62">
        <v>3373</v>
      </c>
      <c r="L138" s="62">
        <v>4208658</v>
      </c>
      <c r="M138" s="62">
        <v>3379381</v>
      </c>
      <c r="N138" s="62">
        <v>707327</v>
      </c>
      <c r="O138" s="188">
        <f t="shared" si="17"/>
        <v>2.9</v>
      </c>
      <c r="P138" s="62">
        <v>3753</v>
      </c>
      <c r="Q138" s="194">
        <f t="shared" si="18"/>
        <v>3753</v>
      </c>
      <c r="R138" s="245"/>
      <c r="S138" s="79">
        <v>97.81078967943706</v>
      </c>
    </row>
    <row r="139" spans="1:19" s="248" customFormat="1" ht="13.5" customHeight="1">
      <c r="A139" s="360">
        <v>24</v>
      </c>
      <c r="B139" s="78"/>
      <c r="C139" s="245"/>
      <c r="D139" s="262"/>
      <c r="E139" s="115" t="s">
        <v>527</v>
      </c>
      <c r="F139" s="186">
        <v>28.118000000000002</v>
      </c>
      <c r="G139" s="62">
        <v>34</v>
      </c>
      <c r="H139" s="187">
        <v>2825</v>
      </c>
      <c r="I139" s="186">
        <v>44.266</v>
      </c>
      <c r="J139" s="62">
        <v>58</v>
      </c>
      <c r="K139" s="62">
        <v>3695</v>
      </c>
      <c r="L139" s="62">
        <v>2531759</v>
      </c>
      <c r="M139" s="62">
        <v>2144056</v>
      </c>
      <c r="N139" s="62">
        <v>302979</v>
      </c>
      <c r="O139" s="188">
        <f t="shared" si="17"/>
        <v>3.35</v>
      </c>
      <c r="P139" s="62">
        <v>4175</v>
      </c>
      <c r="Q139" s="194">
        <f t="shared" si="18"/>
        <v>4175</v>
      </c>
      <c r="R139" s="245"/>
      <c r="S139" s="79">
        <v>96.89022975168253</v>
      </c>
    </row>
    <row r="140" spans="1:19" s="248" customFormat="1" ht="13.5" customHeight="1">
      <c r="A140" s="360">
        <v>25</v>
      </c>
      <c r="B140" s="78"/>
      <c r="C140" s="245"/>
      <c r="D140" s="262"/>
      <c r="E140" s="115" t="s">
        <v>528</v>
      </c>
      <c r="F140" s="186">
        <v>23.875</v>
      </c>
      <c r="G140" s="62">
        <v>26</v>
      </c>
      <c r="H140" s="187">
        <v>2012.5</v>
      </c>
      <c r="I140" s="186">
        <f>33.374+5.542</f>
        <v>38.916000000000004</v>
      </c>
      <c r="J140" s="62">
        <v>47</v>
      </c>
      <c r="K140" s="62">
        <v>3617</v>
      </c>
      <c r="L140" s="62">
        <v>3406892</v>
      </c>
      <c r="M140" s="62">
        <v>2755455</v>
      </c>
      <c r="N140" s="62">
        <v>476287</v>
      </c>
      <c r="O140" s="188">
        <f t="shared" si="17"/>
        <v>5.14</v>
      </c>
      <c r="P140" s="62">
        <v>4026</v>
      </c>
      <c r="Q140" s="194">
        <f t="shared" si="18"/>
        <v>4026</v>
      </c>
      <c r="R140" s="245"/>
      <c r="S140" s="79">
        <v>95.85714285714285</v>
      </c>
    </row>
    <row r="141" spans="1:19" s="248" customFormat="1" ht="13.5" customHeight="1">
      <c r="A141" s="346">
        <v>26</v>
      </c>
      <c r="B141" s="271"/>
      <c r="C141" s="272"/>
      <c r="D141" s="346"/>
      <c r="E141" s="282" t="s">
        <v>530</v>
      </c>
      <c r="F141" s="327">
        <f>9.84+7.208</f>
        <v>17.048000000000002</v>
      </c>
      <c r="G141" s="279">
        <v>16</v>
      </c>
      <c r="H141" s="328">
        <v>1285</v>
      </c>
      <c r="I141" s="327">
        <f>24.674+1.7</f>
        <v>26.374</v>
      </c>
      <c r="J141" s="279">
        <v>10</v>
      </c>
      <c r="K141" s="279">
        <v>1597</v>
      </c>
      <c r="L141" s="279">
        <v>2308129</v>
      </c>
      <c r="M141" s="279">
        <v>1756580</v>
      </c>
      <c r="N141" s="279">
        <v>426042</v>
      </c>
      <c r="O141" s="329">
        <f>ROUND((L141-M141-N141)/L141*100,2)</f>
        <v>5.44</v>
      </c>
      <c r="P141" s="279">
        <v>2436</v>
      </c>
      <c r="Q141" s="280">
        <f t="shared" si="18"/>
        <v>2436</v>
      </c>
      <c r="R141" s="272"/>
      <c r="S141" s="296">
        <v>98.42424242424242</v>
      </c>
    </row>
    <row r="142" spans="1:19" s="248" customFormat="1" ht="13.5" customHeight="1">
      <c r="A142" s="361">
        <v>27</v>
      </c>
      <c r="B142" s="521" t="s">
        <v>126</v>
      </c>
      <c r="C142" s="245"/>
      <c r="D142" s="534">
        <v>10</v>
      </c>
      <c r="E142" s="151" t="s">
        <v>534</v>
      </c>
      <c r="F142" s="152">
        <f>(2.8+1.9+3.2)*1.5</f>
        <v>11.85</v>
      </c>
      <c r="G142" s="153">
        <v>18</v>
      </c>
      <c r="H142" s="154">
        <v>1232.5</v>
      </c>
      <c r="I142" s="152">
        <v>17.6</v>
      </c>
      <c r="J142" s="153">
        <v>4</v>
      </c>
      <c r="K142" s="155">
        <v>2104</v>
      </c>
      <c r="L142" s="155">
        <v>333031</v>
      </c>
      <c r="M142" s="155">
        <v>266120</v>
      </c>
      <c r="N142" s="155">
        <v>47603</v>
      </c>
      <c r="O142" s="156">
        <v>5.8</v>
      </c>
      <c r="P142" s="62">
        <v>1603</v>
      </c>
      <c r="Q142" s="194">
        <f>P142</f>
        <v>1603</v>
      </c>
      <c r="R142" s="245"/>
      <c r="S142" s="79">
        <v>97.03389830508475</v>
      </c>
    </row>
    <row r="143" spans="1:19" s="248" customFormat="1" ht="13.5" customHeight="1">
      <c r="A143" s="360">
        <v>28</v>
      </c>
      <c r="B143" s="525"/>
      <c r="C143" s="245"/>
      <c r="D143" s="524"/>
      <c r="E143" s="151" t="s">
        <v>536</v>
      </c>
      <c r="F143" s="152">
        <f>(2.4+1.2+1.7+2.6+0.9+0.7+1.6)*1.5</f>
        <v>16.65</v>
      </c>
      <c r="G143" s="153">
        <v>17</v>
      </c>
      <c r="H143" s="154">
        <v>1087.5</v>
      </c>
      <c r="I143" s="152">
        <v>16.63</v>
      </c>
      <c r="J143" s="153">
        <v>6</v>
      </c>
      <c r="K143" s="155">
        <v>1611</v>
      </c>
      <c r="L143" s="155">
        <v>360750</v>
      </c>
      <c r="M143" s="155">
        <v>280705</v>
      </c>
      <c r="N143" s="155">
        <v>55925</v>
      </c>
      <c r="O143" s="156">
        <v>6.69</v>
      </c>
      <c r="P143" s="62">
        <v>1069</v>
      </c>
      <c r="Q143" s="194">
        <f aca="true" t="shared" si="19" ref="Q143:Q151">P143</f>
        <v>1069</v>
      </c>
      <c r="R143" s="245"/>
      <c r="S143" s="79">
        <v>93.60770577933451</v>
      </c>
    </row>
    <row r="144" spans="1:19" s="248" customFormat="1" ht="13.5" customHeight="1">
      <c r="A144" s="360">
        <v>29</v>
      </c>
      <c r="B144" s="526"/>
      <c r="C144" s="245"/>
      <c r="D144" s="262"/>
      <c r="E144" s="151" t="s">
        <v>537</v>
      </c>
      <c r="F144" s="152">
        <f>(4.3+1.6+3.9+5.3)*1.3</f>
        <v>19.630000000000003</v>
      </c>
      <c r="G144" s="153">
        <v>27</v>
      </c>
      <c r="H144" s="154">
        <v>2047.5</v>
      </c>
      <c r="I144" s="152">
        <v>26.41</v>
      </c>
      <c r="J144" s="153">
        <v>8</v>
      </c>
      <c r="K144" s="155">
        <v>2239</v>
      </c>
      <c r="L144" s="155">
        <v>384590</v>
      </c>
      <c r="M144" s="155">
        <v>331415</v>
      </c>
      <c r="N144" s="155">
        <v>43732</v>
      </c>
      <c r="O144" s="156">
        <v>2.46</v>
      </c>
      <c r="P144" s="62">
        <v>2346</v>
      </c>
      <c r="Q144" s="194">
        <f t="shared" si="19"/>
        <v>2346</v>
      </c>
      <c r="R144" s="245"/>
      <c r="S144" s="79">
        <v>97.87234042553192</v>
      </c>
    </row>
    <row r="145" spans="1:19" s="248" customFormat="1" ht="13.5" customHeight="1">
      <c r="A145" s="360">
        <v>30</v>
      </c>
      <c r="B145" s="78"/>
      <c r="C145" s="245"/>
      <c r="D145" s="262"/>
      <c r="E145" s="151" t="s">
        <v>538</v>
      </c>
      <c r="F145" s="152">
        <f>(5.3+3.7)*1.5</f>
        <v>13.5</v>
      </c>
      <c r="G145" s="153">
        <v>15</v>
      </c>
      <c r="H145" s="155">
        <v>2425</v>
      </c>
      <c r="I145" s="152">
        <v>13.8</v>
      </c>
      <c r="J145" s="153">
        <v>7</v>
      </c>
      <c r="K145" s="155">
        <v>2031</v>
      </c>
      <c r="L145" s="155">
        <v>428724</v>
      </c>
      <c r="M145" s="155">
        <v>368963</v>
      </c>
      <c r="N145" s="155">
        <v>32297</v>
      </c>
      <c r="O145" s="156">
        <v>6.41</v>
      </c>
      <c r="P145" s="62">
        <v>1914</v>
      </c>
      <c r="Q145" s="194">
        <f t="shared" si="19"/>
        <v>1914</v>
      </c>
      <c r="R145" s="245"/>
      <c r="S145" s="79">
        <v>95.89178356713427</v>
      </c>
    </row>
    <row r="146" spans="1:19" s="248" customFormat="1" ht="13.5" customHeight="1">
      <c r="A146" s="360">
        <v>31</v>
      </c>
      <c r="B146" s="78"/>
      <c r="C146" s="245"/>
      <c r="D146" s="262"/>
      <c r="E146" s="243" t="s">
        <v>539</v>
      </c>
      <c r="F146" s="152">
        <f>+(9)*1.8</f>
        <v>16.2</v>
      </c>
      <c r="G146" s="153">
        <v>19</v>
      </c>
      <c r="H146" s="154">
        <v>1112.5</v>
      </c>
      <c r="I146" s="152">
        <v>18.58</v>
      </c>
      <c r="J146" s="153">
        <v>1</v>
      </c>
      <c r="K146" s="155">
        <v>1629</v>
      </c>
      <c r="L146" s="155">
        <v>290510</v>
      </c>
      <c r="M146" s="155">
        <v>232112</v>
      </c>
      <c r="N146" s="155">
        <v>46785</v>
      </c>
      <c r="O146" s="156">
        <v>4</v>
      </c>
      <c r="P146" s="62">
        <v>1729</v>
      </c>
      <c r="Q146" s="194">
        <f t="shared" si="19"/>
        <v>1729</v>
      </c>
      <c r="R146" s="245"/>
      <c r="S146" s="79">
        <v>97.08029197080292</v>
      </c>
    </row>
    <row r="147" spans="1:19" s="248" customFormat="1" ht="13.5" customHeight="1">
      <c r="A147" s="360">
        <v>32</v>
      </c>
      <c r="B147" s="78"/>
      <c r="C147" s="245"/>
      <c r="D147" s="262"/>
      <c r="E147" s="151" t="s">
        <v>541</v>
      </c>
      <c r="F147" s="152">
        <f>(5.2+1.9+3)*1.2</f>
        <v>12.12</v>
      </c>
      <c r="G147" s="153">
        <v>23</v>
      </c>
      <c r="H147" s="155">
        <v>1185</v>
      </c>
      <c r="I147" s="152">
        <v>22.49</v>
      </c>
      <c r="J147" s="153">
        <v>3</v>
      </c>
      <c r="K147" s="155">
        <v>1294</v>
      </c>
      <c r="L147" s="155">
        <v>195700</v>
      </c>
      <c r="M147" s="155">
        <v>163071</v>
      </c>
      <c r="N147" s="155">
        <v>19828</v>
      </c>
      <c r="O147" s="156">
        <v>6.54</v>
      </c>
      <c r="P147" s="62">
        <v>1519</v>
      </c>
      <c r="Q147" s="194">
        <f t="shared" si="19"/>
        <v>1519</v>
      </c>
      <c r="R147" s="245"/>
      <c r="S147" s="79">
        <v>96.99872286079183</v>
      </c>
    </row>
    <row r="148" spans="1:19" s="248" customFormat="1" ht="13.5" customHeight="1">
      <c r="A148" s="360">
        <v>33</v>
      </c>
      <c r="B148" s="78"/>
      <c r="C148" s="245"/>
      <c r="D148" s="262"/>
      <c r="E148" s="151" t="s">
        <v>542</v>
      </c>
      <c r="F148" s="152">
        <f>(7.5+2.3+2.7+3.2)*1.2</f>
        <v>18.84</v>
      </c>
      <c r="G148" s="153">
        <v>27</v>
      </c>
      <c r="H148" s="154">
        <v>1687.5</v>
      </c>
      <c r="I148" s="152">
        <v>26.4</v>
      </c>
      <c r="J148" s="153">
        <v>0</v>
      </c>
      <c r="K148" s="155">
        <v>1958</v>
      </c>
      <c r="L148" s="155">
        <v>408713</v>
      </c>
      <c r="M148" s="155">
        <v>317819</v>
      </c>
      <c r="N148" s="155">
        <v>64812</v>
      </c>
      <c r="O148" s="156">
        <v>6.38</v>
      </c>
      <c r="P148" s="62">
        <v>2980</v>
      </c>
      <c r="Q148" s="194">
        <f t="shared" si="19"/>
        <v>2980</v>
      </c>
      <c r="R148" s="245"/>
      <c r="S148" s="79">
        <v>96.65909828089522</v>
      </c>
    </row>
    <row r="149" spans="1:19" s="248" customFormat="1" ht="13.5" customHeight="1">
      <c r="A149" s="360">
        <v>34</v>
      </c>
      <c r="B149" s="78"/>
      <c r="C149" s="245"/>
      <c r="D149" s="262"/>
      <c r="E149" s="243" t="s">
        <v>544</v>
      </c>
      <c r="F149" s="152">
        <f>(4.2+7.6+2.1)*1.5</f>
        <v>20.85</v>
      </c>
      <c r="G149" s="153">
        <v>29</v>
      </c>
      <c r="H149" s="154">
        <v>1907.5</v>
      </c>
      <c r="I149" s="152">
        <v>28.36</v>
      </c>
      <c r="J149" s="153">
        <v>12</v>
      </c>
      <c r="K149" s="155">
        <v>2051</v>
      </c>
      <c r="L149" s="155">
        <v>525990</v>
      </c>
      <c r="M149" s="155">
        <v>405682</v>
      </c>
      <c r="N149" s="155">
        <v>85805</v>
      </c>
      <c r="O149" s="156">
        <v>6.56</v>
      </c>
      <c r="P149" s="62">
        <v>2013</v>
      </c>
      <c r="Q149" s="194">
        <f t="shared" si="19"/>
        <v>2013</v>
      </c>
      <c r="R149" s="245"/>
      <c r="S149" s="79">
        <v>97.05882352941177</v>
      </c>
    </row>
    <row r="150" spans="1:19" s="248" customFormat="1" ht="13.5" customHeight="1">
      <c r="A150" s="360">
        <v>35</v>
      </c>
      <c r="B150" s="78"/>
      <c r="C150" s="245"/>
      <c r="D150" s="262"/>
      <c r="E150" s="151" t="s">
        <v>545</v>
      </c>
      <c r="F150" s="152">
        <f>(5.6+1.8+1.2+0.8)*1.8</f>
        <v>16.92</v>
      </c>
      <c r="G150" s="153">
        <v>15</v>
      </c>
      <c r="H150" s="154">
        <v>1532.5</v>
      </c>
      <c r="I150" s="152">
        <v>14.67</v>
      </c>
      <c r="J150" s="153">
        <v>12</v>
      </c>
      <c r="K150" s="155">
        <v>3070</v>
      </c>
      <c r="L150" s="155">
        <v>607440</v>
      </c>
      <c r="M150" s="155">
        <v>463349</v>
      </c>
      <c r="N150" s="155">
        <v>47400</v>
      </c>
      <c r="O150" s="156">
        <v>15.92</v>
      </c>
      <c r="P150" s="62">
        <v>2047</v>
      </c>
      <c r="Q150" s="194">
        <f t="shared" si="19"/>
        <v>2047</v>
      </c>
      <c r="R150" s="245"/>
      <c r="S150" s="79">
        <v>97.38344433872503</v>
      </c>
    </row>
    <row r="151" spans="1:19" s="248" customFormat="1" ht="13.5" customHeight="1">
      <c r="A151" s="360">
        <v>36</v>
      </c>
      <c r="B151" s="78"/>
      <c r="C151" s="245"/>
      <c r="D151" s="262"/>
      <c r="E151" s="151" t="s">
        <v>546</v>
      </c>
      <c r="F151" s="152">
        <f>(4.9+8.5+2.5)*1.2</f>
        <v>19.08</v>
      </c>
      <c r="G151" s="153">
        <v>21</v>
      </c>
      <c r="H151" s="155">
        <v>3825</v>
      </c>
      <c r="I151" s="152">
        <v>20.54</v>
      </c>
      <c r="J151" s="153">
        <v>40</v>
      </c>
      <c r="K151" s="155">
        <v>4842</v>
      </c>
      <c r="L151" s="155">
        <v>1101950</v>
      </c>
      <c r="M151" s="155">
        <v>933712</v>
      </c>
      <c r="N151" s="155">
        <v>124388</v>
      </c>
      <c r="O151" s="156">
        <v>3.98</v>
      </c>
      <c r="P151" s="62">
        <v>4345</v>
      </c>
      <c r="Q151" s="194">
        <f t="shared" si="19"/>
        <v>4345</v>
      </c>
      <c r="R151" s="245"/>
      <c r="S151" s="79">
        <v>99.45067521171893</v>
      </c>
    </row>
    <row r="152" spans="1:19" s="248" customFormat="1" ht="13.5" customHeight="1">
      <c r="A152" s="270"/>
      <c r="B152" s="271"/>
      <c r="C152" s="272"/>
      <c r="D152" s="346"/>
      <c r="E152" s="330"/>
      <c r="F152" s="397"/>
      <c r="G152" s="332"/>
      <c r="H152" s="398"/>
      <c r="I152" s="331"/>
      <c r="J152" s="399"/>
      <c r="K152" s="277"/>
      <c r="L152" s="398"/>
      <c r="M152" s="277"/>
      <c r="N152" s="398"/>
      <c r="O152" s="278"/>
      <c r="P152" s="400"/>
      <c r="Q152" s="407"/>
      <c r="R152" s="271"/>
      <c r="S152" s="296"/>
    </row>
    <row r="153" spans="1:19" ht="13.5" customHeight="1">
      <c r="A153" s="206"/>
      <c r="B153" s="237"/>
      <c r="C153" s="207">
        <v>136</v>
      </c>
      <c r="D153" s="406">
        <v>136</v>
      </c>
      <c r="E153" s="237"/>
      <c r="F153" s="342">
        <f aca="true" t="shared" si="20" ref="F153:N153">SUM(F15:F151)</f>
        <v>2758.256500000001</v>
      </c>
      <c r="G153" s="343">
        <f t="shared" si="20"/>
        <v>4083</v>
      </c>
      <c r="H153" s="341">
        <f t="shared" si="20"/>
        <v>545030.5</v>
      </c>
      <c r="I153" s="344">
        <f t="shared" si="20"/>
        <v>4143.650825000001</v>
      </c>
      <c r="J153" s="338">
        <f t="shared" si="20"/>
        <v>7305</v>
      </c>
      <c r="K153" s="343">
        <f t="shared" si="20"/>
        <v>354986</v>
      </c>
      <c r="L153" s="339">
        <f t="shared" si="20"/>
        <v>246093174.85292026</v>
      </c>
      <c r="M153" s="343">
        <f t="shared" si="20"/>
        <v>189983593</v>
      </c>
      <c r="N153" s="338">
        <f t="shared" si="20"/>
        <v>43938922</v>
      </c>
      <c r="O153" s="340">
        <f>ROUND((L153-M153-N153)/L153*100,2)</f>
        <v>4.95</v>
      </c>
      <c r="P153" s="343">
        <f>SUM(P15:P151)</f>
        <v>383729</v>
      </c>
      <c r="Q153" s="337">
        <f>SUM(Q15:Q151)</f>
        <v>383729</v>
      </c>
      <c r="R153" s="237"/>
      <c r="S153" s="359">
        <v>97.8</v>
      </c>
    </row>
    <row r="156" ht="12.75">
      <c r="Q156" s="129"/>
    </row>
  </sheetData>
  <sheetProtection/>
  <mergeCells count="52">
    <mergeCell ref="D118:D119"/>
    <mergeCell ref="D125:D126"/>
    <mergeCell ref="D133:D134"/>
    <mergeCell ref="D142:D143"/>
    <mergeCell ref="C95:C97"/>
    <mergeCell ref="D95:D97"/>
    <mergeCell ref="C99:C101"/>
    <mergeCell ref="D99:D101"/>
    <mergeCell ref="C46:C48"/>
    <mergeCell ref="D46:D48"/>
    <mergeCell ref="C103:C105"/>
    <mergeCell ref="D103:D105"/>
    <mergeCell ref="C66:C68"/>
    <mergeCell ref="D66:D68"/>
    <mergeCell ref="C72:C74"/>
    <mergeCell ref="D72:D74"/>
    <mergeCell ref="C86:C89"/>
    <mergeCell ref="D86:D89"/>
    <mergeCell ref="C56:C58"/>
    <mergeCell ref="D56:D58"/>
    <mergeCell ref="C9:D9"/>
    <mergeCell ref="E9:E13"/>
    <mergeCell ref="C15:C16"/>
    <mergeCell ref="D15:D16"/>
    <mergeCell ref="C22:C24"/>
    <mergeCell ref="D22:D24"/>
    <mergeCell ref="C31:C33"/>
    <mergeCell ref="D31:D33"/>
    <mergeCell ref="P10:R10"/>
    <mergeCell ref="P9:S9"/>
    <mergeCell ref="A7:S7"/>
    <mergeCell ref="B22:B24"/>
    <mergeCell ref="G9:H9"/>
    <mergeCell ref="J9:K9"/>
    <mergeCell ref="M10:N10"/>
    <mergeCell ref="L9:O9"/>
    <mergeCell ref="A9:A13"/>
    <mergeCell ref="B9:B13"/>
    <mergeCell ref="B95:B97"/>
    <mergeCell ref="B99:B101"/>
    <mergeCell ref="B142:B144"/>
    <mergeCell ref="B103:B105"/>
    <mergeCell ref="B125:B126"/>
    <mergeCell ref="B133:B134"/>
    <mergeCell ref="B118:B119"/>
    <mergeCell ref="B15:B16"/>
    <mergeCell ref="B66:B68"/>
    <mergeCell ref="B72:B74"/>
    <mergeCell ref="B86:B89"/>
    <mergeCell ref="B31:B33"/>
    <mergeCell ref="B46:B48"/>
    <mergeCell ref="B56:B58"/>
  </mergeCells>
  <printOptions horizontalCentered="1"/>
  <pageMargins left="0" right="0" top="0.5" bottom="0.5" header="0.5" footer="0.5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HAOPT</dc:creator>
  <cp:keywords/>
  <dc:description/>
  <cp:lastModifiedBy>User</cp:lastModifiedBy>
  <cp:lastPrinted>2012-05-02T01:32:16Z</cp:lastPrinted>
  <dcterms:created xsi:type="dcterms:W3CDTF">2004-07-19T01:53:52Z</dcterms:created>
  <dcterms:modified xsi:type="dcterms:W3CDTF">2012-06-12T01:38:45Z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